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tinezFamily\MakingMoney\"/>
    </mc:Choice>
  </mc:AlternateContent>
  <bookViews>
    <workbookView xWindow="14805" yWindow="120" windowWidth="8475" windowHeight="8700" activeTab="3"/>
  </bookViews>
  <sheets>
    <sheet name="10bii" sheetId="7" r:id="rId1"/>
    <sheet name="Per1K" sheetId="3" r:id="rId2"/>
    <sheet name="30YrAmort" sheetId="4" r:id="rId3"/>
    <sheet name="AmortTbl" sheetId="5" r:id="rId4"/>
    <sheet name="CanUAfford" sheetId="1" r:id="rId5"/>
    <sheet name="Lending_DCR" sheetId="6" r:id="rId6"/>
    <sheet name="FICO" sheetId="2" r:id="rId7"/>
    <sheet name="Rpt2" sheetId="9" state="hidden" r:id="rId8"/>
    <sheet name="Ignore" sheetId="8" state="hidden" r:id="rId9"/>
  </sheets>
  <definedNames>
    <definedName name="FV">AmortTbl!$E$5</definedName>
    <definedName name="Loan">AmortTbl!$E$3</definedName>
    <definedName name="PdDescr">Ignore!$B$8:$B$13</definedName>
    <definedName name="Period">Ignore!$B$8:$C$13</definedName>
    <definedName name="PMT">AmortTbl!$E$4</definedName>
    <definedName name="_xlnm.Print_Area" localSheetId="2">'30YrAmort'!$B$2:$U$45</definedName>
    <definedName name="_xlnm.Print_Area" localSheetId="3">AmortTbl!$B$2:$F$370</definedName>
    <definedName name="_xlnm.Print_Area" localSheetId="4">CanUAfford!$B$2:$R$33</definedName>
    <definedName name="_xlnm.Print_Area" localSheetId="5">Lending_DCR!$B$2:$Q$31</definedName>
    <definedName name="_xlnm.Print_Area" localSheetId="1">Per1K!$B$2:$J$38</definedName>
    <definedName name="_xlnm.Print_Area" localSheetId="7">'Rpt2'!$B$2:$H$44</definedName>
    <definedName name="_xlnm.Print_Titles" localSheetId="3">AmortTbl!$2:$6</definedName>
    <definedName name="PYR">AmortTbl!$C$5</definedName>
    <definedName name="Rate">AmortTbl!$C$4</definedName>
    <definedName name="Term">AmortTbl!$C$3</definedName>
  </definedNames>
  <calcPr calcId="152511"/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10" i="1"/>
  <c r="B3" i="1"/>
  <c r="B8" i="4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7" i="4"/>
  <c r="C10" i="1"/>
  <c r="C9" i="1"/>
  <c r="E4" i="5"/>
  <c r="G9" i="7"/>
  <c r="F8" i="7"/>
  <c r="E7" i="7"/>
  <c r="B2" i="5"/>
  <c r="F10" i="5"/>
  <c r="D11" i="5" s="1"/>
  <c r="B2" i="3"/>
  <c r="J8" i="3"/>
  <c r="I8" i="3"/>
  <c r="H8" i="3"/>
  <c r="G8" i="3"/>
  <c r="F8" i="3"/>
  <c r="E8" i="3"/>
  <c r="D8" i="3"/>
  <c r="C8" i="3"/>
  <c r="B28" i="1" l="1"/>
  <c r="C28" i="1" s="1"/>
  <c r="D28" i="1" s="1"/>
  <c r="C27" i="1"/>
  <c r="D27" i="1" s="1"/>
  <c r="E367" i="5"/>
  <c r="E363" i="5"/>
  <c r="E359" i="5"/>
  <c r="E355" i="5"/>
  <c r="E351" i="5"/>
  <c r="E347" i="5"/>
  <c r="E343" i="5"/>
  <c r="E339" i="5"/>
  <c r="E335" i="5"/>
  <c r="E331" i="5"/>
  <c r="E327" i="5"/>
  <c r="E323" i="5"/>
  <c r="E319" i="5"/>
  <c r="E315" i="5"/>
  <c r="E311" i="5"/>
  <c r="E307" i="5"/>
  <c r="E303" i="5"/>
  <c r="E299" i="5"/>
  <c r="E295" i="5"/>
  <c r="E291" i="5"/>
  <c r="E287" i="5"/>
  <c r="E283" i="5"/>
  <c r="E279" i="5"/>
  <c r="E275" i="5"/>
  <c r="E370" i="5"/>
  <c r="E366" i="5"/>
  <c r="E362" i="5"/>
  <c r="E358" i="5"/>
  <c r="E354" i="5"/>
  <c r="E350" i="5"/>
  <c r="E346" i="5"/>
  <c r="E342" i="5"/>
  <c r="E338" i="5"/>
  <c r="E334" i="5"/>
  <c r="E330" i="5"/>
  <c r="E326" i="5"/>
  <c r="E322" i="5"/>
  <c r="E318" i="5"/>
  <c r="E314" i="5"/>
  <c r="E310" i="5"/>
  <c r="E306" i="5"/>
  <c r="E302" i="5"/>
  <c r="E298" i="5"/>
  <c r="E294" i="5"/>
  <c r="E290" i="5"/>
  <c r="E286" i="5"/>
  <c r="E282" i="5"/>
  <c r="E278" i="5"/>
  <c r="E274" i="5"/>
  <c r="E369" i="5"/>
  <c r="E365" i="5"/>
  <c r="E361" i="5"/>
  <c r="E357" i="5"/>
  <c r="E353" i="5"/>
  <c r="E349" i="5"/>
  <c r="E345" i="5"/>
  <c r="E341" i="5"/>
  <c r="E337" i="5"/>
  <c r="E333" i="5"/>
  <c r="E329" i="5"/>
  <c r="E325" i="5"/>
  <c r="E321" i="5"/>
  <c r="E317" i="5"/>
  <c r="E313" i="5"/>
  <c r="E309" i="5"/>
  <c r="E305" i="5"/>
  <c r="E301" i="5"/>
  <c r="E297" i="5"/>
  <c r="E293" i="5"/>
  <c r="E289" i="5"/>
  <c r="E285" i="5"/>
  <c r="E281" i="5"/>
  <c r="E277" i="5"/>
  <c r="E273" i="5"/>
  <c r="E368" i="5"/>
  <c r="E364" i="5"/>
  <c r="E360" i="5"/>
  <c r="E356" i="5"/>
  <c r="E352" i="5"/>
  <c r="E348" i="5"/>
  <c r="E344" i="5"/>
  <c r="E340" i="5"/>
  <c r="E336" i="5"/>
  <c r="E332" i="5"/>
  <c r="E328" i="5"/>
  <c r="E324" i="5"/>
  <c r="E320" i="5"/>
  <c r="E316" i="5"/>
  <c r="E312" i="5"/>
  <c r="E308" i="5"/>
  <c r="E304" i="5"/>
  <c r="E300" i="5"/>
  <c r="E296" i="5"/>
  <c r="E292" i="5"/>
  <c r="E288" i="5"/>
  <c r="E284" i="5"/>
  <c r="E280" i="5"/>
  <c r="E276" i="5"/>
  <c r="E272" i="5"/>
  <c r="E271" i="5"/>
  <c r="E267" i="5"/>
  <c r="E263" i="5"/>
  <c r="E259" i="5"/>
  <c r="E255" i="5"/>
  <c r="E251" i="5"/>
  <c r="E247" i="5"/>
  <c r="E243" i="5"/>
  <c r="E239" i="5"/>
  <c r="E235" i="5"/>
  <c r="E231" i="5"/>
  <c r="E227" i="5"/>
  <c r="E223" i="5"/>
  <c r="E219" i="5"/>
  <c r="E215" i="5"/>
  <c r="E211" i="5"/>
  <c r="E207" i="5"/>
  <c r="E203" i="5"/>
  <c r="E199" i="5"/>
  <c r="E195" i="5"/>
  <c r="E191" i="5"/>
  <c r="E187" i="5"/>
  <c r="E183" i="5"/>
  <c r="E179" i="5"/>
  <c r="E175" i="5"/>
  <c r="E171" i="5"/>
  <c r="E167" i="5"/>
  <c r="E163" i="5"/>
  <c r="E159" i="5"/>
  <c r="E155" i="5"/>
  <c r="E151" i="5"/>
  <c r="E147" i="5"/>
  <c r="E143" i="5"/>
  <c r="E139" i="5"/>
  <c r="E135" i="5"/>
  <c r="E131" i="5"/>
  <c r="E127" i="5"/>
  <c r="E123" i="5"/>
  <c r="E119" i="5"/>
  <c r="E115" i="5"/>
  <c r="E111" i="5"/>
  <c r="E107" i="5"/>
  <c r="E103" i="5"/>
  <c r="E99" i="5"/>
  <c r="E95" i="5"/>
  <c r="E91" i="5"/>
  <c r="E87" i="5"/>
  <c r="E83" i="5"/>
  <c r="E79" i="5"/>
  <c r="E75" i="5"/>
  <c r="E71" i="5"/>
  <c r="E67" i="5"/>
  <c r="E63" i="5"/>
  <c r="E59" i="5"/>
  <c r="E55" i="5"/>
  <c r="E51" i="5"/>
  <c r="E47" i="5"/>
  <c r="E43" i="5"/>
  <c r="E39" i="5"/>
  <c r="E35" i="5"/>
  <c r="E31" i="5"/>
  <c r="E27" i="5"/>
  <c r="E23" i="5"/>
  <c r="E19" i="5"/>
  <c r="E15" i="5"/>
  <c r="E11" i="5"/>
  <c r="C11" i="5" s="1"/>
  <c r="E270" i="5"/>
  <c r="E266" i="5"/>
  <c r="E262" i="5"/>
  <c r="E258" i="5"/>
  <c r="E254" i="5"/>
  <c r="E250" i="5"/>
  <c r="E246" i="5"/>
  <c r="E242" i="5"/>
  <c r="E238" i="5"/>
  <c r="E234" i="5"/>
  <c r="E230" i="5"/>
  <c r="E226" i="5"/>
  <c r="E222" i="5"/>
  <c r="E218" i="5"/>
  <c r="E214" i="5"/>
  <c r="E210" i="5"/>
  <c r="E206" i="5"/>
  <c r="E202" i="5"/>
  <c r="E198" i="5"/>
  <c r="E194" i="5"/>
  <c r="E190" i="5"/>
  <c r="E186" i="5"/>
  <c r="E182" i="5"/>
  <c r="E178" i="5"/>
  <c r="E174" i="5"/>
  <c r="E170" i="5"/>
  <c r="E166" i="5"/>
  <c r="E162" i="5"/>
  <c r="E158" i="5"/>
  <c r="E154" i="5"/>
  <c r="E150" i="5"/>
  <c r="E146" i="5"/>
  <c r="E142" i="5"/>
  <c r="E138" i="5"/>
  <c r="E134" i="5"/>
  <c r="E130" i="5"/>
  <c r="E126" i="5"/>
  <c r="E122" i="5"/>
  <c r="E118" i="5"/>
  <c r="E114" i="5"/>
  <c r="E110" i="5"/>
  <c r="E106" i="5"/>
  <c r="E102" i="5"/>
  <c r="E98" i="5"/>
  <c r="E94" i="5"/>
  <c r="E90" i="5"/>
  <c r="E86" i="5"/>
  <c r="E82" i="5"/>
  <c r="E78" i="5"/>
  <c r="E74" i="5"/>
  <c r="E70" i="5"/>
  <c r="E66" i="5"/>
  <c r="E62" i="5"/>
  <c r="E58" i="5"/>
  <c r="E54" i="5"/>
  <c r="E50" i="5"/>
  <c r="E46" i="5"/>
  <c r="E42" i="5"/>
  <c r="E38" i="5"/>
  <c r="E34" i="5"/>
  <c r="E30" i="5"/>
  <c r="E26" i="5"/>
  <c r="E22" i="5"/>
  <c r="E18" i="5"/>
  <c r="E14" i="5"/>
  <c r="E269" i="5"/>
  <c r="E265" i="5"/>
  <c r="E261" i="5"/>
  <c r="E257" i="5"/>
  <c r="E253" i="5"/>
  <c r="E249" i="5"/>
  <c r="E245" i="5"/>
  <c r="E241" i="5"/>
  <c r="E237" i="5"/>
  <c r="E233" i="5"/>
  <c r="E229" i="5"/>
  <c r="E225" i="5"/>
  <c r="E221" i="5"/>
  <c r="E217" i="5"/>
  <c r="E213" i="5"/>
  <c r="E209" i="5"/>
  <c r="E205" i="5"/>
  <c r="E201" i="5"/>
  <c r="E197" i="5"/>
  <c r="E193" i="5"/>
  <c r="E189" i="5"/>
  <c r="E185" i="5"/>
  <c r="E181" i="5"/>
  <c r="E177" i="5"/>
  <c r="E173" i="5"/>
  <c r="E169" i="5"/>
  <c r="E165" i="5"/>
  <c r="E161" i="5"/>
  <c r="E157" i="5"/>
  <c r="E153" i="5"/>
  <c r="E149" i="5"/>
  <c r="E145" i="5"/>
  <c r="E141" i="5"/>
  <c r="E137" i="5"/>
  <c r="E133" i="5"/>
  <c r="E129" i="5"/>
  <c r="E125" i="5"/>
  <c r="E121" i="5"/>
  <c r="E117" i="5"/>
  <c r="E113" i="5"/>
  <c r="E109" i="5"/>
  <c r="E105" i="5"/>
  <c r="E101" i="5"/>
  <c r="E97" i="5"/>
  <c r="E93" i="5"/>
  <c r="E89" i="5"/>
  <c r="E85" i="5"/>
  <c r="E81" i="5"/>
  <c r="E77" i="5"/>
  <c r="E73" i="5"/>
  <c r="E69" i="5"/>
  <c r="E65" i="5"/>
  <c r="E61" i="5"/>
  <c r="E57" i="5"/>
  <c r="E53" i="5"/>
  <c r="E49" i="5"/>
  <c r="E45" i="5"/>
  <c r="E41" i="5"/>
  <c r="E37" i="5"/>
  <c r="E33" i="5"/>
  <c r="E29" i="5"/>
  <c r="E25" i="5"/>
  <c r="E21" i="5"/>
  <c r="E17" i="5"/>
  <c r="E13" i="5"/>
  <c r="E268" i="5"/>
  <c r="E264" i="5"/>
  <c r="E260" i="5"/>
  <c r="E256" i="5"/>
  <c r="E252" i="5"/>
  <c r="E248" i="5"/>
  <c r="E244" i="5"/>
  <c r="E240" i="5"/>
  <c r="E236" i="5"/>
  <c r="E232" i="5"/>
  <c r="E228" i="5"/>
  <c r="E224" i="5"/>
  <c r="E220" i="5"/>
  <c r="E216" i="5"/>
  <c r="E212" i="5"/>
  <c r="E208" i="5"/>
  <c r="E204" i="5"/>
  <c r="E200" i="5"/>
  <c r="E196" i="5"/>
  <c r="E192" i="5"/>
  <c r="E188" i="5"/>
  <c r="E184" i="5"/>
  <c r="E180" i="5"/>
  <c r="E176" i="5"/>
  <c r="E172" i="5"/>
  <c r="E168" i="5"/>
  <c r="E164" i="5"/>
  <c r="E160" i="5"/>
  <c r="E156" i="5"/>
  <c r="E152" i="5"/>
  <c r="E148" i="5"/>
  <c r="E144" i="5"/>
  <c r="E140" i="5"/>
  <c r="E136" i="5"/>
  <c r="E132" i="5"/>
  <c r="E128" i="5"/>
  <c r="E124" i="5"/>
  <c r="E120" i="5"/>
  <c r="E116" i="5"/>
  <c r="E112" i="5"/>
  <c r="E108" i="5"/>
  <c r="E104" i="5"/>
  <c r="E100" i="5"/>
  <c r="E96" i="5"/>
  <c r="E92" i="5"/>
  <c r="E88" i="5"/>
  <c r="E84" i="5"/>
  <c r="E80" i="5"/>
  <c r="E76" i="5"/>
  <c r="E72" i="5"/>
  <c r="E68" i="5"/>
  <c r="E64" i="5"/>
  <c r="E60" i="5"/>
  <c r="E56" i="5"/>
  <c r="E52" i="5"/>
  <c r="E48" i="5"/>
  <c r="E44" i="5"/>
  <c r="E40" i="5"/>
  <c r="E36" i="5"/>
  <c r="E32" i="5"/>
  <c r="E28" i="5"/>
  <c r="E24" i="5"/>
  <c r="E20" i="5"/>
  <c r="E16" i="5"/>
  <c r="E12" i="5"/>
  <c r="U5" i="4"/>
  <c r="T6" i="4"/>
  <c r="T5" i="4"/>
  <c r="P5" i="4"/>
  <c r="C7" i="4"/>
  <c r="B13" i="7"/>
  <c r="B18" i="7"/>
  <c r="C17" i="7"/>
  <c r="D17" i="7" s="1"/>
  <c r="C21" i="7"/>
  <c r="C22" i="7"/>
  <c r="F11" i="5" l="1"/>
  <c r="U7" i="4"/>
  <c r="U6" i="4"/>
  <c r="U8" i="4"/>
  <c r="U9" i="4"/>
  <c r="T7" i="4"/>
  <c r="T8" i="4"/>
  <c r="T9" i="4"/>
  <c r="Q5" i="4"/>
  <c r="P6" i="4"/>
  <c r="Q7" i="4"/>
  <c r="Q8" i="4"/>
  <c r="Q9" i="4"/>
  <c r="P7" i="4"/>
  <c r="P8" i="4"/>
  <c r="P9" i="4"/>
  <c r="C6" i="4"/>
  <c r="C8" i="4"/>
  <c r="C18" i="7"/>
  <c r="E17" i="7"/>
  <c r="D18" i="7"/>
  <c r="R5" i="4" l="1"/>
  <c r="Q6" i="4"/>
  <c r="F17" i="7"/>
  <c r="E18" i="7"/>
  <c r="D12" i="5" l="1"/>
  <c r="C12" i="5" s="1"/>
  <c r="S5" i="4"/>
  <c r="R9" i="4"/>
  <c r="R7" i="4"/>
  <c r="R8" i="4"/>
  <c r="R6" i="4"/>
  <c r="G17" i="7"/>
  <c r="F18" i="7"/>
  <c r="E7" i="5"/>
  <c r="D6" i="7"/>
  <c r="C5" i="7"/>
  <c r="D11" i="9"/>
  <c r="D17" i="9" s="1"/>
  <c r="D12" i="9"/>
  <c r="D16" i="9" s="1"/>
  <c r="D18" i="9"/>
  <c r="G18" i="9"/>
  <c r="G19" i="9" s="1"/>
  <c r="H18" i="9"/>
  <c r="H19" i="9" s="1"/>
  <c r="D20" i="9"/>
  <c r="D29" i="9" s="1"/>
  <c r="C29" i="9" s="1"/>
  <c r="C21" i="9"/>
  <c r="D21" i="9" s="1"/>
  <c r="C24" i="9"/>
  <c r="C25" i="9"/>
  <c r="C27" i="9"/>
  <c r="H27" i="9"/>
  <c r="C28" i="9"/>
  <c r="C30" i="9"/>
  <c r="D36" i="9"/>
  <c r="C36" i="9" s="1"/>
  <c r="C39" i="9"/>
  <c r="F12" i="5" l="1"/>
  <c r="S9" i="4"/>
  <c r="S6" i="4"/>
  <c r="S7" i="4"/>
  <c r="S8" i="4"/>
  <c r="H17" i="7"/>
  <c r="G18" i="7"/>
  <c r="C34" i="9"/>
  <c r="D34" i="9" s="1"/>
  <c r="C37" i="9"/>
  <c r="D37" i="9" s="1"/>
  <c r="H26" i="9"/>
  <c r="C22" i="9"/>
  <c r="D22" i="9" s="1"/>
  <c r="D26" i="9"/>
  <c r="I17" i="7" l="1"/>
  <c r="H18" i="7"/>
  <c r="C26" i="9"/>
  <c r="C31" i="9" s="1"/>
  <c r="C33" i="9" s="1"/>
  <c r="C35" i="9" s="1"/>
  <c r="C38" i="9" s="1"/>
  <c r="C40" i="9" s="1"/>
  <c r="D31" i="9"/>
  <c r="D33" i="9" s="1"/>
  <c r="C23" i="7"/>
  <c r="J17" i="7" l="1"/>
  <c r="I18" i="7"/>
  <c r="D35" i="9"/>
  <c r="H28" i="9"/>
  <c r="H25" i="9"/>
  <c r="H3" i="6"/>
  <c r="G4" i="6"/>
  <c r="E4" i="6"/>
  <c r="D4" i="6"/>
  <c r="C4" i="6"/>
  <c r="B5" i="6"/>
  <c r="E5" i="6" s="1"/>
  <c r="K17" i="7" l="1"/>
  <c r="J18" i="7"/>
  <c r="C5" i="6"/>
  <c r="G5" i="6"/>
  <c r="H29" i="9"/>
  <c r="D38" i="9"/>
  <c r="H5" i="6"/>
  <c r="I3" i="6"/>
  <c r="H4" i="6"/>
  <c r="B6" i="6"/>
  <c r="H6" i="6" s="1"/>
  <c r="D5" i="6"/>
  <c r="B12" i="5"/>
  <c r="D9" i="1"/>
  <c r="E8" i="1"/>
  <c r="D5" i="4"/>
  <c r="D9" i="4" s="1"/>
  <c r="C9" i="4"/>
  <c r="B9" i="3"/>
  <c r="B10" i="3" s="1"/>
  <c r="E5" i="4"/>
  <c r="E9" i="4" s="1"/>
  <c r="D10" i="1"/>
  <c r="J10" i="3" l="1"/>
  <c r="F10" i="3"/>
  <c r="I10" i="3"/>
  <c r="D10" i="3"/>
  <c r="H10" i="3"/>
  <c r="C10" i="3"/>
  <c r="G10" i="3"/>
  <c r="E10" i="3"/>
  <c r="J9" i="3"/>
  <c r="F9" i="3"/>
  <c r="G9" i="3"/>
  <c r="E9" i="3"/>
  <c r="H9" i="3"/>
  <c r="C9" i="3"/>
  <c r="I9" i="3"/>
  <c r="D9" i="3"/>
  <c r="E27" i="1"/>
  <c r="E28" i="1"/>
  <c r="C11" i="1"/>
  <c r="E9" i="1"/>
  <c r="F8" i="1"/>
  <c r="E10" i="1"/>
  <c r="D11" i="1"/>
  <c r="U10" i="4"/>
  <c r="P10" i="4"/>
  <c r="Q10" i="4"/>
  <c r="T10" i="4"/>
  <c r="R10" i="4"/>
  <c r="S10" i="4"/>
  <c r="E7" i="4"/>
  <c r="E6" i="4"/>
  <c r="E8" i="4"/>
  <c r="D7" i="4"/>
  <c r="D6" i="4"/>
  <c r="D8" i="4"/>
  <c r="L17" i="7"/>
  <c r="K18" i="7"/>
  <c r="B11" i="3"/>
  <c r="E11" i="1"/>
  <c r="C10" i="4"/>
  <c r="D10" i="4"/>
  <c r="F10" i="1"/>
  <c r="E10" i="4"/>
  <c r="F5" i="4"/>
  <c r="F11" i="1"/>
  <c r="G6" i="6"/>
  <c r="B13" i="5"/>
  <c r="D40" i="9"/>
  <c r="H31" i="9" s="1"/>
  <c r="H30" i="9"/>
  <c r="J3" i="6"/>
  <c r="I4" i="6"/>
  <c r="I6" i="6"/>
  <c r="I5" i="6"/>
  <c r="C6" i="6"/>
  <c r="B7" i="6"/>
  <c r="I7" i="6" s="1"/>
  <c r="D6" i="6"/>
  <c r="E6" i="6"/>
  <c r="J11" i="3" l="1"/>
  <c r="F11" i="3"/>
  <c r="G11" i="3"/>
  <c r="C11" i="3"/>
  <c r="E11" i="3"/>
  <c r="I11" i="3"/>
  <c r="D11" i="3"/>
  <c r="H11" i="3"/>
  <c r="F27" i="1"/>
  <c r="F28" i="1"/>
  <c r="C12" i="1"/>
  <c r="F9" i="1"/>
  <c r="G8" i="1"/>
  <c r="D13" i="5"/>
  <c r="C13" i="5" s="1"/>
  <c r="T11" i="4"/>
  <c r="U11" i="4"/>
  <c r="Q11" i="4"/>
  <c r="P11" i="4"/>
  <c r="R11" i="4"/>
  <c r="S11" i="4"/>
  <c r="E11" i="4"/>
  <c r="F7" i="4"/>
  <c r="F6" i="4"/>
  <c r="F8" i="4"/>
  <c r="M17" i="7"/>
  <c r="L18" i="7"/>
  <c r="G5" i="4"/>
  <c r="F10" i="4"/>
  <c r="F9" i="4"/>
  <c r="F11" i="4"/>
  <c r="C11" i="4"/>
  <c r="D11" i="4"/>
  <c r="B12" i="3"/>
  <c r="G7" i="6"/>
  <c r="H7" i="6"/>
  <c r="B14" i="5"/>
  <c r="J5" i="6"/>
  <c r="J6" i="6"/>
  <c r="K3" i="6"/>
  <c r="J4" i="6"/>
  <c r="J7" i="6"/>
  <c r="B8" i="6"/>
  <c r="E7" i="6"/>
  <c r="D7" i="6"/>
  <c r="C7" i="6"/>
  <c r="J12" i="3" l="1"/>
  <c r="F12" i="3"/>
  <c r="I12" i="3"/>
  <c r="D12" i="3"/>
  <c r="H12" i="3"/>
  <c r="C12" i="3"/>
  <c r="E12" i="3"/>
  <c r="G12" i="3"/>
  <c r="G27" i="1"/>
  <c r="G28" i="1"/>
  <c r="F12" i="1"/>
  <c r="D12" i="1"/>
  <c r="E12" i="1"/>
  <c r="C13" i="1"/>
  <c r="G10" i="1"/>
  <c r="G9" i="1"/>
  <c r="G11" i="1"/>
  <c r="G12" i="1"/>
  <c r="H8" i="1"/>
  <c r="F13" i="5"/>
  <c r="F12" i="4"/>
  <c r="U12" i="4"/>
  <c r="Q12" i="4"/>
  <c r="P12" i="4"/>
  <c r="T12" i="4"/>
  <c r="R12" i="4"/>
  <c r="S12" i="4"/>
  <c r="G7" i="4"/>
  <c r="G6" i="4"/>
  <c r="G8" i="4"/>
  <c r="N17" i="7"/>
  <c r="M18" i="7"/>
  <c r="B13" i="3"/>
  <c r="G8" i="6"/>
  <c r="H8" i="6"/>
  <c r="I8" i="6"/>
  <c r="J8" i="6"/>
  <c r="G11" i="4"/>
  <c r="G10" i="4"/>
  <c r="G9" i="4"/>
  <c r="H5" i="4"/>
  <c r="G12" i="4"/>
  <c r="D12" i="4"/>
  <c r="C12" i="4"/>
  <c r="E12" i="4"/>
  <c r="B15" i="5"/>
  <c r="K5" i="6"/>
  <c r="L3" i="6"/>
  <c r="K8" i="6"/>
  <c r="K7" i="6"/>
  <c r="K6" i="6"/>
  <c r="K4" i="6"/>
  <c r="B9" i="6"/>
  <c r="E8" i="6"/>
  <c r="D8" i="6"/>
  <c r="C8" i="6"/>
  <c r="J13" i="3" l="1"/>
  <c r="F13" i="3"/>
  <c r="G13" i="3"/>
  <c r="C13" i="3"/>
  <c r="E13" i="3"/>
  <c r="H13" i="3"/>
  <c r="I13" i="3"/>
  <c r="D13" i="3"/>
  <c r="H28" i="1"/>
  <c r="H27" i="1"/>
  <c r="C14" i="1"/>
  <c r="E13" i="1"/>
  <c r="F13" i="1"/>
  <c r="G13" i="1"/>
  <c r="D13" i="1"/>
  <c r="H12" i="1"/>
  <c r="H10" i="1"/>
  <c r="H11" i="1"/>
  <c r="H13" i="1"/>
  <c r="I8" i="1"/>
  <c r="H9" i="1"/>
  <c r="D14" i="5"/>
  <c r="C14" i="5" s="1"/>
  <c r="G13" i="4"/>
  <c r="U13" i="4"/>
  <c r="Q13" i="4"/>
  <c r="P13" i="4"/>
  <c r="T13" i="4"/>
  <c r="R13" i="4"/>
  <c r="S13" i="4"/>
  <c r="H7" i="4"/>
  <c r="H6" i="4"/>
  <c r="H8" i="4"/>
  <c r="O17" i="7"/>
  <c r="N18" i="7"/>
  <c r="H13" i="4"/>
  <c r="I5" i="4"/>
  <c r="H11" i="4"/>
  <c r="H10" i="4"/>
  <c r="H12" i="4"/>
  <c r="H9" i="4"/>
  <c r="B14" i="3"/>
  <c r="G9" i="6"/>
  <c r="H9" i="6"/>
  <c r="I9" i="6"/>
  <c r="J9" i="6"/>
  <c r="K9" i="6"/>
  <c r="C13" i="4"/>
  <c r="D13" i="4"/>
  <c r="E13" i="4"/>
  <c r="F13" i="4"/>
  <c r="B16" i="5"/>
  <c r="M3" i="6"/>
  <c r="L4" i="6"/>
  <c r="L9" i="6"/>
  <c r="L6" i="6"/>
  <c r="L8" i="6"/>
  <c r="L5" i="6"/>
  <c r="L7" i="6"/>
  <c r="B10" i="6"/>
  <c r="L10" i="6" s="1"/>
  <c r="E9" i="6"/>
  <c r="D9" i="6"/>
  <c r="C9" i="6"/>
  <c r="J14" i="3" l="1"/>
  <c r="F14" i="3"/>
  <c r="I14" i="3"/>
  <c r="D14" i="3"/>
  <c r="H14" i="3"/>
  <c r="C14" i="3"/>
  <c r="G14" i="3"/>
  <c r="E14" i="3"/>
  <c r="I28" i="1"/>
  <c r="I27" i="1"/>
  <c r="C15" i="1"/>
  <c r="D14" i="1"/>
  <c r="F14" i="1"/>
  <c r="G14" i="1"/>
  <c r="H14" i="1"/>
  <c r="E14" i="1"/>
  <c r="I15" i="1"/>
  <c r="J8" i="1"/>
  <c r="I11" i="1"/>
  <c r="I9" i="1"/>
  <c r="I12" i="1"/>
  <c r="I13" i="1"/>
  <c r="I14" i="1"/>
  <c r="I10" i="1"/>
  <c r="F14" i="5"/>
  <c r="D15" i="5" s="1"/>
  <c r="C15" i="5" s="1"/>
  <c r="T14" i="4"/>
  <c r="U14" i="4"/>
  <c r="Q14" i="4"/>
  <c r="P14" i="4"/>
  <c r="R14" i="4"/>
  <c r="S14" i="4"/>
  <c r="I7" i="4"/>
  <c r="I6" i="4"/>
  <c r="I8" i="4"/>
  <c r="P17" i="7"/>
  <c r="O18" i="7"/>
  <c r="I10" i="4"/>
  <c r="I13" i="4"/>
  <c r="J5" i="4"/>
  <c r="I11" i="4"/>
  <c r="I14" i="4"/>
  <c r="I9" i="4"/>
  <c r="I12" i="4"/>
  <c r="D14" i="4"/>
  <c r="E14" i="4"/>
  <c r="C14" i="4"/>
  <c r="F14" i="4"/>
  <c r="G14" i="4"/>
  <c r="H14" i="4"/>
  <c r="G10" i="6"/>
  <c r="H10" i="6"/>
  <c r="I10" i="6"/>
  <c r="J10" i="6"/>
  <c r="K10" i="6"/>
  <c r="B15" i="3"/>
  <c r="B17" i="5"/>
  <c r="N3" i="6"/>
  <c r="O3" i="6" s="1"/>
  <c r="M9" i="6"/>
  <c r="M6" i="6"/>
  <c r="M5" i="6"/>
  <c r="M10" i="6"/>
  <c r="M7" i="6"/>
  <c r="M4" i="6"/>
  <c r="M8" i="6"/>
  <c r="B11" i="6"/>
  <c r="D10" i="6"/>
  <c r="E10" i="6"/>
  <c r="C10" i="6"/>
  <c r="J15" i="3" l="1"/>
  <c r="F15" i="3"/>
  <c r="G15" i="3"/>
  <c r="C15" i="3"/>
  <c r="E15" i="3"/>
  <c r="I15" i="3"/>
  <c r="D15" i="3"/>
  <c r="H15" i="3"/>
  <c r="O10" i="6"/>
  <c r="P3" i="6"/>
  <c r="J27" i="1"/>
  <c r="J28" i="1"/>
  <c r="C16" i="1"/>
  <c r="F15" i="1"/>
  <c r="D15" i="1"/>
  <c r="E15" i="1"/>
  <c r="G15" i="1"/>
  <c r="H15" i="1"/>
  <c r="J16" i="1"/>
  <c r="J15" i="1"/>
  <c r="J10" i="1"/>
  <c r="J13" i="1"/>
  <c r="J11" i="1"/>
  <c r="J9" i="1"/>
  <c r="J12" i="1"/>
  <c r="J14" i="1"/>
  <c r="K8" i="1"/>
  <c r="F15" i="5"/>
  <c r="D16" i="5" s="1"/>
  <c r="C16" i="5" s="1"/>
  <c r="T15" i="4"/>
  <c r="U15" i="4"/>
  <c r="Q15" i="4"/>
  <c r="P15" i="4"/>
  <c r="R15" i="4"/>
  <c r="S15" i="4"/>
  <c r="J7" i="4"/>
  <c r="J6" i="4"/>
  <c r="J8" i="4"/>
  <c r="Q17" i="7"/>
  <c r="P18" i="7"/>
  <c r="O4" i="6"/>
  <c r="O5" i="6"/>
  <c r="O6" i="6"/>
  <c r="O7" i="6"/>
  <c r="O8" i="6"/>
  <c r="O9" i="6"/>
  <c r="J9" i="4"/>
  <c r="J14" i="4"/>
  <c r="J15" i="4"/>
  <c r="J13" i="4"/>
  <c r="J12" i="4"/>
  <c r="J10" i="4"/>
  <c r="J11" i="4"/>
  <c r="K5" i="4"/>
  <c r="G11" i="6"/>
  <c r="H11" i="6"/>
  <c r="O11" i="6"/>
  <c r="I11" i="6"/>
  <c r="J11" i="6"/>
  <c r="K11" i="6"/>
  <c r="L11" i="6"/>
  <c r="M11" i="6"/>
  <c r="B16" i="3"/>
  <c r="D15" i="4"/>
  <c r="E15" i="4"/>
  <c r="C15" i="4"/>
  <c r="F15" i="4"/>
  <c r="G15" i="4"/>
  <c r="H15" i="4"/>
  <c r="I15" i="4"/>
  <c r="B18" i="5"/>
  <c r="N8" i="6"/>
  <c r="N6" i="6"/>
  <c r="N10" i="6"/>
  <c r="N5" i="6"/>
  <c r="N9" i="6"/>
  <c r="N4" i="6"/>
  <c r="N7" i="6"/>
  <c r="N11" i="6"/>
  <c r="B12" i="6"/>
  <c r="N12" i="6" s="1"/>
  <c r="E11" i="6"/>
  <c r="D11" i="6"/>
  <c r="C11" i="6"/>
  <c r="J16" i="3" l="1"/>
  <c r="F16" i="3"/>
  <c r="I16" i="3"/>
  <c r="D16" i="3"/>
  <c r="H16" i="3"/>
  <c r="C16" i="3"/>
  <c r="E16" i="3"/>
  <c r="G16" i="3"/>
  <c r="P24" i="6"/>
  <c r="P21" i="6"/>
  <c r="P5" i="6"/>
  <c r="P17" i="6"/>
  <c r="P9" i="6"/>
  <c r="P13" i="6"/>
  <c r="Q3" i="6"/>
  <c r="P6" i="6"/>
  <c r="P22" i="6"/>
  <c r="P19" i="6"/>
  <c r="P12" i="6"/>
  <c r="P10" i="6"/>
  <c r="P7" i="6"/>
  <c r="P23" i="6"/>
  <c r="P16" i="6"/>
  <c r="P8" i="6"/>
  <c r="P14" i="6"/>
  <c r="P11" i="6"/>
  <c r="P4" i="6"/>
  <c r="P20" i="6"/>
  <c r="P18" i="6"/>
  <c r="P15" i="6"/>
  <c r="K27" i="1"/>
  <c r="K28" i="1"/>
  <c r="C17" i="1"/>
  <c r="G16" i="1"/>
  <c r="H16" i="1"/>
  <c r="F16" i="1"/>
  <c r="E16" i="1"/>
  <c r="D16" i="1"/>
  <c r="I16" i="1"/>
  <c r="K14" i="1"/>
  <c r="K9" i="1"/>
  <c r="K10" i="1"/>
  <c r="L8" i="1"/>
  <c r="K13" i="1"/>
  <c r="K11" i="1"/>
  <c r="K12" i="1"/>
  <c r="K17" i="1"/>
  <c r="K16" i="1"/>
  <c r="K15" i="1"/>
  <c r="F16" i="5"/>
  <c r="D17" i="5" s="1"/>
  <c r="C17" i="5" s="1"/>
  <c r="J16" i="4"/>
  <c r="T16" i="4"/>
  <c r="U16" i="4"/>
  <c r="Q16" i="4"/>
  <c r="P16" i="4"/>
  <c r="R16" i="4"/>
  <c r="S16" i="4"/>
  <c r="K7" i="4"/>
  <c r="K6" i="4"/>
  <c r="K8" i="4"/>
  <c r="R17" i="7"/>
  <c r="Q18" i="7"/>
  <c r="B17" i="3"/>
  <c r="D16" i="4"/>
  <c r="E16" i="4"/>
  <c r="C16" i="4"/>
  <c r="F16" i="4"/>
  <c r="G16" i="4"/>
  <c r="H16" i="4"/>
  <c r="I16" i="4"/>
  <c r="K12" i="4"/>
  <c r="K11" i="4"/>
  <c r="K14" i="4"/>
  <c r="L5" i="4"/>
  <c r="K17" i="4"/>
  <c r="K16" i="4"/>
  <c r="K15" i="4"/>
  <c r="K13" i="4"/>
  <c r="K10" i="4"/>
  <c r="K9" i="4"/>
  <c r="O12" i="6"/>
  <c r="G12" i="6"/>
  <c r="H12" i="6"/>
  <c r="I12" i="6"/>
  <c r="J12" i="6"/>
  <c r="K12" i="6"/>
  <c r="L12" i="6"/>
  <c r="M12" i="6"/>
  <c r="B19" i="5"/>
  <c r="C12" i="6"/>
  <c r="E12" i="6"/>
  <c r="D12" i="6"/>
  <c r="B13" i="6"/>
  <c r="J17" i="3" l="1"/>
  <c r="F17" i="3"/>
  <c r="G17" i="3"/>
  <c r="C17" i="3"/>
  <c r="E17" i="3"/>
  <c r="I17" i="3"/>
  <c r="D17" i="3"/>
  <c r="H17" i="3"/>
  <c r="Q24" i="6"/>
  <c r="Q5" i="6"/>
  <c r="Q21" i="6"/>
  <c r="Q18" i="6"/>
  <c r="Q15" i="6"/>
  <c r="Q8" i="6"/>
  <c r="Q9" i="6"/>
  <c r="Q6" i="6"/>
  <c r="Q22" i="6"/>
  <c r="Q19" i="6"/>
  <c r="Q12" i="6"/>
  <c r="Q14" i="6"/>
  <c r="Q20" i="6"/>
  <c r="Q13" i="6"/>
  <c r="Q10" i="6"/>
  <c r="Q7" i="6"/>
  <c r="Q23" i="6"/>
  <c r="Q16" i="6"/>
  <c r="Q17" i="6"/>
  <c r="Q11" i="6"/>
  <c r="Q4" i="6"/>
  <c r="L28" i="1"/>
  <c r="L27" i="1"/>
  <c r="C18" i="1"/>
  <c r="E17" i="1"/>
  <c r="F17" i="1"/>
  <c r="H17" i="1"/>
  <c r="G17" i="1"/>
  <c r="D17" i="1"/>
  <c r="I17" i="1"/>
  <c r="J17" i="1"/>
  <c r="L16" i="1"/>
  <c r="L18" i="1"/>
  <c r="L17" i="1"/>
  <c r="M8" i="1"/>
  <c r="L11" i="1"/>
  <c r="L12" i="1"/>
  <c r="L14" i="1"/>
  <c r="L15" i="1"/>
  <c r="L10" i="1"/>
  <c r="L13" i="1"/>
  <c r="L9" i="1"/>
  <c r="F17" i="5"/>
  <c r="D18" i="5" s="1"/>
  <c r="C18" i="5" s="1"/>
  <c r="F18" i="5" s="1"/>
  <c r="T17" i="4"/>
  <c r="U17" i="4"/>
  <c r="Q17" i="4"/>
  <c r="P17" i="4"/>
  <c r="R17" i="4"/>
  <c r="S17" i="4"/>
  <c r="L7" i="4"/>
  <c r="L8" i="4"/>
  <c r="L6" i="4"/>
  <c r="R18" i="7"/>
  <c r="S17" i="7"/>
  <c r="O13" i="6"/>
  <c r="H13" i="6"/>
  <c r="G13" i="6"/>
  <c r="I13" i="6"/>
  <c r="J13" i="6"/>
  <c r="K13" i="6"/>
  <c r="L13" i="6"/>
  <c r="M13" i="6"/>
  <c r="N13" i="6"/>
  <c r="L17" i="4"/>
  <c r="L10" i="4"/>
  <c r="L15" i="4"/>
  <c r="L9" i="4"/>
  <c r="L14" i="4"/>
  <c r="L13" i="4"/>
  <c r="L16" i="4"/>
  <c r="M5" i="4"/>
  <c r="L12" i="4"/>
  <c r="L11" i="4"/>
  <c r="C17" i="4"/>
  <c r="L18" i="4"/>
  <c r="D17" i="4"/>
  <c r="E17" i="4"/>
  <c r="F17" i="4"/>
  <c r="G17" i="4"/>
  <c r="H17" i="4"/>
  <c r="I17" i="4"/>
  <c r="J17" i="4"/>
  <c r="B18" i="3"/>
  <c r="B20" i="5"/>
  <c r="E13" i="6"/>
  <c r="D13" i="6"/>
  <c r="B14" i="6"/>
  <c r="C13" i="6"/>
  <c r="J18" i="3" l="1"/>
  <c r="F18" i="3"/>
  <c r="I18" i="3"/>
  <c r="D18" i="3"/>
  <c r="H18" i="3"/>
  <c r="C18" i="3"/>
  <c r="E18" i="3"/>
  <c r="G18" i="3"/>
  <c r="M28" i="1"/>
  <c r="M27" i="1"/>
  <c r="C19" i="1"/>
  <c r="E18" i="1"/>
  <c r="G18" i="1"/>
  <c r="F18" i="1"/>
  <c r="I18" i="1"/>
  <c r="J18" i="1"/>
  <c r="D18" i="1"/>
  <c r="H18" i="1"/>
  <c r="K18" i="1"/>
  <c r="N8" i="1"/>
  <c r="M13" i="1"/>
  <c r="M19" i="1"/>
  <c r="M15" i="1"/>
  <c r="M11" i="1"/>
  <c r="M14" i="1"/>
  <c r="M9" i="1"/>
  <c r="M12" i="1"/>
  <c r="M17" i="1"/>
  <c r="M16" i="1"/>
  <c r="M10" i="1"/>
  <c r="M18" i="1"/>
  <c r="D19" i="5"/>
  <c r="C19" i="5" s="1"/>
  <c r="F19" i="5" s="1"/>
  <c r="U18" i="4"/>
  <c r="T18" i="4"/>
  <c r="P18" i="4"/>
  <c r="Q18" i="4"/>
  <c r="R18" i="4"/>
  <c r="S18" i="4"/>
  <c r="M7" i="4"/>
  <c r="M6" i="4"/>
  <c r="M8" i="4"/>
  <c r="S18" i="7"/>
  <c r="T17" i="7"/>
  <c r="G14" i="6"/>
  <c r="O14" i="6"/>
  <c r="H14" i="6"/>
  <c r="I14" i="6"/>
  <c r="J14" i="6"/>
  <c r="K14" i="6"/>
  <c r="L14" i="6"/>
  <c r="M14" i="6"/>
  <c r="N14" i="6"/>
  <c r="D18" i="4"/>
  <c r="C18" i="4"/>
  <c r="E18" i="4"/>
  <c r="F18" i="4"/>
  <c r="G18" i="4"/>
  <c r="H18" i="4"/>
  <c r="I18" i="4"/>
  <c r="J18" i="4"/>
  <c r="K18" i="4"/>
  <c r="M9" i="4"/>
  <c r="M16" i="4"/>
  <c r="M18" i="4"/>
  <c r="M19" i="4"/>
  <c r="M15" i="4"/>
  <c r="M12" i="4"/>
  <c r="M17" i="4"/>
  <c r="M11" i="4"/>
  <c r="M10" i="4"/>
  <c r="N5" i="4"/>
  <c r="M13" i="4"/>
  <c r="M14" i="4"/>
  <c r="B19" i="3"/>
  <c r="B21" i="5"/>
  <c r="D14" i="6"/>
  <c r="C14" i="6"/>
  <c r="B15" i="6"/>
  <c r="E14" i="6"/>
  <c r="J19" i="3" l="1"/>
  <c r="F19" i="3"/>
  <c r="G19" i="3"/>
  <c r="C19" i="3"/>
  <c r="E19" i="3"/>
  <c r="H19" i="3"/>
  <c r="I19" i="3"/>
  <c r="D19" i="3"/>
  <c r="O8" i="1"/>
  <c r="N27" i="1"/>
  <c r="N28" i="1"/>
  <c r="C20" i="1"/>
  <c r="N20" i="1" s="1"/>
  <c r="G19" i="1"/>
  <c r="K19" i="1"/>
  <c r="E19" i="1"/>
  <c r="J19" i="1"/>
  <c r="D19" i="1"/>
  <c r="H19" i="1"/>
  <c r="F19" i="1"/>
  <c r="I19" i="1"/>
  <c r="L19" i="1"/>
  <c r="N13" i="1"/>
  <c r="N9" i="1"/>
  <c r="N11" i="1"/>
  <c r="N18" i="1"/>
  <c r="N17" i="1"/>
  <c r="N10" i="1"/>
  <c r="N19" i="1"/>
  <c r="N16" i="1"/>
  <c r="N14" i="1"/>
  <c r="N15" i="1"/>
  <c r="N12" i="1"/>
  <c r="D20" i="5"/>
  <c r="C20" i="5" s="1"/>
  <c r="F20" i="5" s="1"/>
  <c r="U19" i="4"/>
  <c r="P19" i="4"/>
  <c r="T19" i="4"/>
  <c r="Q19" i="4"/>
  <c r="R19" i="4"/>
  <c r="S19" i="4"/>
  <c r="N7" i="4"/>
  <c r="N6" i="4"/>
  <c r="N8" i="4"/>
  <c r="U17" i="7"/>
  <c r="T18" i="7"/>
  <c r="B20" i="3"/>
  <c r="D19" i="4"/>
  <c r="E19" i="4"/>
  <c r="C19" i="4"/>
  <c r="F19" i="4"/>
  <c r="G19" i="4"/>
  <c r="H19" i="4"/>
  <c r="I19" i="4"/>
  <c r="J19" i="4"/>
  <c r="K19" i="4"/>
  <c r="L19" i="4"/>
  <c r="N19" i="4"/>
  <c r="N17" i="4"/>
  <c r="N18" i="4"/>
  <c r="N12" i="4"/>
  <c r="N15" i="4"/>
  <c r="N9" i="4"/>
  <c r="O5" i="4"/>
  <c r="N11" i="4"/>
  <c r="N14" i="4"/>
  <c r="N20" i="4"/>
  <c r="N10" i="4"/>
  <c r="N13" i="4"/>
  <c r="N16" i="4"/>
  <c r="G15" i="6"/>
  <c r="O15" i="6"/>
  <c r="H15" i="6"/>
  <c r="I15" i="6"/>
  <c r="J15" i="6"/>
  <c r="K15" i="6"/>
  <c r="L15" i="6"/>
  <c r="M15" i="6"/>
  <c r="N15" i="6"/>
  <c r="B22" i="5"/>
  <c r="D15" i="6"/>
  <c r="B16" i="6"/>
  <c r="C15" i="6"/>
  <c r="E15" i="6"/>
  <c r="J20" i="3" l="1"/>
  <c r="F20" i="3"/>
  <c r="I20" i="3"/>
  <c r="D20" i="3"/>
  <c r="H20" i="3"/>
  <c r="C20" i="3"/>
  <c r="G20" i="3"/>
  <c r="E20" i="3"/>
  <c r="O28" i="1"/>
  <c r="O17" i="1"/>
  <c r="P8" i="1"/>
  <c r="O13" i="1"/>
  <c r="O9" i="1"/>
  <c r="O14" i="1"/>
  <c r="O11" i="1"/>
  <c r="O27" i="1"/>
  <c r="O18" i="1"/>
  <c r="O15" i="1"/>
  <c r="O12" i="1"/>
  <c r="O19" i="1"/>
  <c r="O16" i="1"/>
  <c r="O10" i="1"/>
  <c r="O20" i="1"/>
  <c r="C21" i="1"/>
  <c r="O21" i="1" s="1"/>
  <c r="D20" i="1"/>
  <c r="J20" i="1"/>
  <c r="I20" i="1"/>
  <c r="G20" i="1"/>
  <c r="H20" i="1"/>
  <c r="E20" i="1"/>
  <c r="F20" i="1"/>
  <c r="K20" i="1"/>
  <c r="L20" i="1"/>
  <c r="M20" i="1"/>
  <c r="D21" i="5"/>
  <c r="T20" i="4"/>
  <c r="Q20" i="4"/>
  <c r="P20" i="4"/>
  <c r="U20" i="4"/>
  <c r="R20" i="4"/>
  <c r="S20" i="4"/>
  <c r="O6" i="4"/>
  <c r="O7" i="4"/>
  <c r="O8" i="4"/>
  <c r="V17" i="7"/>
  <c r="U18" i="7"/>
  <c r="B21" i="3"/>
  <c r="O13" i="4"/>
  <c r="O11" i="4"/>
  <c r="O9" i="4"/>
  <c r="O12" i="4"/>
  <c r="O10" i="4"/>
  <c r="O19" i="4"/>
  <c r="O16" i="4"/>
  <c r="O15" i="4"/>
  <c r="O14" i="4"/>
  <c r="O18" i="4"/>
  <c r="O17" i="4"/>
  <c r="O20" i="4"/>
  <c r="G16" i="6"/>
  <c r="O16" i="6"/>
  <c r="H16" i="6"/>
  <c r="I16" i="6"/>
  <c r="J16" i="6"/>
  <c r="K16" i="6"/>
  <c r="L16" i="6"/>
  <c r="M16" i="6"/>
  <c r="N16" i="6"/>
  <c r="C20" i="4"/>
  <c r="E20" i="4"/>
  <c r="D20" i="4"/>
  <c r="F20" i="4"/>
  <c r="G20" i="4"/>
  <c r="H20" i="4"/>
  <c r="I20" i="4"/>
  <c r="J20" i="4"/>
  <c r="K20" i="4"/>
  <c r="L20" i="4"/>
  <c r="M20" i="4"/>
  <c r="B23" i="5"/>
  <c r="E16" i="6"/>
  <c r="D16" i="6"/>
  <c r="C16" i="6"/>
  <c r="B17" i="6"/>
  <c r="J21" i="3" l="1"/>
  <c r="F21" i="3"/>
  <c r="G21" i="3"/>
  <c r="C21" i="3"/>
  <c r="E21" i="3"/>
  <c r="H21" i="3"/>
  <c r="I21" i="3"/>
  <c r="D21" i="3"/>
  <c r="P28" i="1"/>
  <c r="P9" i="1"/>
  <c r="P13" i="1"/>
  <c r="P21" i="1"/>
  <c r="Q8" i="1"/>
  <c r="P17" i="1"/>
  <c r="P19" i="1"/>
  <c r="P16" i="1"/>
  <c r="P10" i="1"/>
  <c r="P20" i="1"/>
  <c r="P14" i="1"/>
  <c r="P11" i="1"/>
  <c r="P27" i="1"/>
  <c r="P18" i="1"/>
  <c r="P15" i="1"/>
  <c r="P12" i="1"/>
  <c r="C22" i="1"/>
  <c r="O22" i="1" s="1"/>
  <c r="D21" i="1"/>
  <c r="H21" i="1"/>
  <c r="I21" i="1"/>
  <c r="G21" i="1"/>
  <c r="E21" i="1"/>
  <c r="F21" i="1"/>
  <c r="L21" i="1"/>
  <c r="M21" i="1"/>
  <c r="K21" i="1"/>
  <c r="J21" i="1"/>
  <c r="N21" i="1"/>
  <c r="C21" i="5"/>
  <c r="F21" i="5" s="1"/>
  <c r="T21" i="4"/>
  <c r="Q21" i="4"/>
  <c r="P21" i="4"/>
  <c r="U21" i="4"/>
  <c r="R21" i="4"/>
  <c r="S21" i="4"/>
  <c r="V18" i="7"/>
  <c r="W17" i="7"/>
  <c r="B22" i="3"/>
  <c r="O17" i="6"/>
  <c r="G17" i="6"/>
  <c r="H17" i="6"/>
  <c r="I17" i="6"/>
  <c r="J17" i="6"/>
  <c r="K17" i="6"/>
  <c r="L17" i="6"/>
  <c r="M17" i="6"/>
  <c r="N17" i="6"/>
  <c r="E21" i="4"/>
  <c r="C21" i="4"/>
  <c r="D21" i="4"/>
  <c r="F21" i="4"/>
  <c r="G21" i="4"/>
  <c r="H21" i="4"/>
  <c r="I21" i="4"/>
  <c r="J21" i="4"/>
  <c r="K21" i="4"/>
  <c r="L21" i="4"/>
  <c r="M21" i="4"/>
  <c r="N21" i="4"/>
  <c r="O21" i="4"/>
  <c r="B24" i="5"/>
  <c r="E17" i="6"/>
  <c r="D17" i="6"/>
  <c r="B18" i="6"/>
  <c r="C17" i="6"/>
  <c r="J22" i="3" l="1"/>
  <c r="F22" i="3"/>
  <c r="I22" i="3"/>
  <c r="D22" i="3"/>
  <c r="H22" i="3"/>
  <c r="C22" i="3"/>
  <c r="G22" i="3"/>
  <c r="E22" i="3"/>
  <c r="P22" i="1"/>
  <c r="Q28" i="1"/>
  <c r="Q17" i="1"/>
  <c r="Q21" i="1"/>
  <c r="R8" i="1"/>
  <c r="Q13" i="1"/>
  <c r="Q9" i="1"/>
  <c r="Q14" i="1"/>
  <c r="Q11" i="1"/>
  <c r="Q27" i="1"/>
  <c r="Q18" i="1"/>
  <c r="Q15" i="1"/>
  <c r="Q12" i="1"/>
  <c r="Q22" i="1"/>
  <c r="Q19" i="1"/>
  <c r="Q16" i="1"/>
  <c r="Q10" i="1"/>
  <c r="Q20" i="1"/>
  <c r="C23" i="1"/>
  <c r="Q23" i="1" s="1"/>
  <c r="F22" i="1"/>
  <c r="D22" i="1"/>
  <c r="N22" i="1"/>
  <c r="J22" i="1"/>
  <c r="H22" i="1"/>
  <c r="E22" i="1"/>
  <c r="K22" i="1"/>
  <c r="L22" i="1"/>
  <c r="I22" i="1"/>
  <c r="G22" i="1"/>
  <c r="M22" i="1"/>
  <c r="D22" i="5"/>
  <c r="C22" i="5" s="1"/>
  <c r="P22" i="4"/>
  <c r="Q22" i="4"/>
  <c r="U22" i="4"/>
  <c r="T22" i="4"/>
  <c r="R22" i="4"/>
  <c r="S22" i="4"/>
  <c r="W18" i="7"/>
  <c r="X17" i="7"/>
  <c r="B23" i="3"/>
  <c r="O18" i="6"/>
  <c r="G18" i="6"/>
  <c r="H18" i="6"/>
  <c r="I18" i="6"/>
  <c r="J18" i="6"/>
  <c r="K18" i="6"/>
  <c r="L18" i="6"/>
  <c r="M18" i="6"/>
  <c r="N18" i="6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B25" i="5"/>
  <c r="D18" i="6"/>
  <c r="C18" i="6"/>
  <c r="B19" i="6"/>
  <c r="E18" i="6"/>
  <c r="J23" i="3" l="1"/>
  <c r="F23" i="3"/>
  <c r="I23" i="3"/>
  <c r="G23" i="3"/>
  <c r="H23" i="3"/>
  <c r="E23" i="3"/>
  <c r="C23" i="3"/>
  <c r="D23" i="3"/>
  <c r="O23" i="1"/>
  <c r="P23" i="1"/>
  <c r="R28" i="1"/>
  <c r="R9" i="1"/>
  <c r="R21" i="1"/>
  <c r="R17" i="1"/>
  <c r="R13" i="1"/>
  <c r="R22" i="1"/>
  <c r="R19" i="1"/>
  <c r="R16" i="1"/>
  <c r="R10" i="1"/>
  <c r="R23" i="1"/>
  <c r="R20" i="1"/>
  <c r="R14" i="1"/>
  <c r="R11" i="1"/>
  <c r="R27" i="1"/>
  <c r="R18" i="1"/>
  <c r="R15" i="1"/>
  <c r="R12" i="1"/>
  <c r="C24" i="1"/>
  <c r="M23" i="1"/>
  <c r="G23" i="1"/>
  <c r="H23" i="1"/>
  <c r="N23" i="1"/>
  <c r="K23" i="1"/>
  <c r="L23" i="1"/>
  <c r="J23" i="1"/>
  <c r="D23" i="1"/>
  <c r="F23" i="1"/>
  <c r="E23" i="1"/>
  <c r="I23" i="1"/>
  <c r="F22" i="5"/>
  <c r="D23" i="5" s="1"/>
  <c r="C23" i="5" s="1"/>
  <c r="F23" i="5" s="1"/>
  <c r="D24" i="5" s="1"/>
  <c r="C24" i="5" s="1"/>
  <c r="F24" i="5" s="1"/>
  <c r="U23" i="4"/>
  <c r="Q23" i="4"/>
  <c r="P23" i="4"/>
  <c r="T23" i="4"/>
  <c r="R23" i="4"/>
  <c r="S23" i="4"/>
  <c r="Y17" i="7"/>
  <c r="Y18" i="7" s="1"/>
  <c r="X18" i="7"/>
  <c r="G19" i="6"/>
  <c r="O19" i="6"/>
  <c r="H19" i="6"/>
  <c r="I19" i="6"/>
  <c r="J19" i="6"/>
  <c r="K19" i="6"/>
  <c r="L19" i="6"/>
  <c r="M19" i="6"/>
  <c r="N19" i="6"/>
  <c r="D23" i="4"/>
  <c r="E23" i="4"/>
  <c r="C23" i="4"/>
  <c r="F23" i="4"/>
  <c r="G23" i="4"/>
  <c r="H23" i="4"/>
  <c r="I23" i="4"/>
  <c r="J23" i="4"/>
  <c r="K23" i="4"/>
  <c r="L23" i="4"/>
  <c r="M23" i="4"/>
  <c r="N23" i="4"/>
  <c r="O23" i="4"/>
  <c r="B24" i="3"/>
  <c r="B26" i="5"/>
  <c r="C19" i="6"/>
  <c r="E19" i="6"/>
  <c r="D19" i="6"/>
  <c r="B20" i="6"/>
  <c r="J24" i="3" l="1"/>
  <c r="F24" i="3"/>
  <c r="I24" i="3"/>
  <c r="E24" i="3"/>
  <c r="G24" i="3"/>
  <c r="D24" i="3"/>
  <c r="H24" i="3"/>
  <c r="C24" i="3"/>
  <c r="O24" i="1"/>
  <c r="P24" i="1"/>
  <c r="Q24" i="1"/>
  <c r="R24" i="1"/>
  <c r="C25" i="1"/>
  <c r="C26" i="1"/>
  <c r="M24" i="1"/>
  <c r="F24" i="1"/>
  <c r="E24" i="1"/>
  <c r="K24" i="1"/>
  <c r="D24" i="1"/>
  <c r="L24" i="1"/>
  <c r="I24" i="1"/>
  <c r="H24" i="1"/>
  <c r="G24" i="1"/>
  <c r="J24" i="1"/>
  <c r="N24" i="1"/>
  <c r="U24" i="4"/>
  <c r="Q24" i="4"/>
  <c r="P24" i="4"/>
  <c r="T24" i="4"/>
  <c r="R24" i="4"/>
  <c r="S24" i="4"/>
  <c r="E24" i="4"/>
  <c r="C24" i="4"/>
  <c r="D24" i="4"/>
  <c r="F24" i="4"/>
  <c r="G24" i="4"/>
  <c r="H24" i="4"/>
  <c r="I24" i="4"/>
  <c r="J24" i="4"/>
  <c r="K24" i="4"/>
  <c r="L24" i="4"/>
  <c r="M24" i="4"/>
  <c r="N24" i="4"/>
  <c r="O24" i="4"/>
  <c r="O20" i="6"/>
  <c r="G20" i="6"/>
  <c r="H20" i="6"/>
  <c r="I20" i="6"/>
  <c r="J20" i="6"/>
  <c r="K20" i="6"/>
  <c r="L20" i="6"/>
  <c r="M20" i="6"/>
  <c r="N20" i="6"/>
  <c r="B25" i="3"/>
  <c r="B27" i="5"/>
  <c r="E20" i="6"/>
  <c r="D20" i="6"/>
  <c r="C20" i="6"/>
  <c r="B21" i="6"/>
  <c r="J25" i="3" l="1"/>
  <c r="F25" i="3"/>
  <c r="I25" i="3"/>
  <c r="E25" i="3"/>
  <c r="G25" i="3"/>
  <c r="D25" i="3"/>
  <c r="C25" i="3"/>
  <c r="H25" i="3"/>
  <c r="O26" i="1"/>
  <c r="P26" i="1"/>
  <c r="Q26" i="1"/>
  <c r="R26" i="1"/>
  <c r="O25" i="1"/>
  <c r="P25" i="1"/>
  <c r="Q25" i="1"/>
  <c r="R25" i="1"/>
  <c r="D26" i="1"/>
  <c r="E26" i="1"/>
  <c r="F26" i="1"/>
  <c r="G26" i="1"/>
  <c r="H26" i="1"/>
  <c r="I26" i="1"/>
  <c r="J26" i="1"/>
  <c r="K26" i="1"/>
  <c r="L26" i="1"/>
  <c r="M26" i="1"/>
  <c r="N26" i="1"/>
  <c r="N25" i="1"/>
  <c r="I25" i="1"/>
  <c r="F25" i="1"/>
  <c r="J25" i="1"/>
  <c r="L25" i="1"/>
  <c r="D25" i="1"/>
  <c r="M25" i="1"/>
  <c r="G25" i="1"/>
  <c r="H25" i="1"/>
  <c r="E25" i="1"/>
  <c r="K25" i="1"/>
  <c r="D25" i="5"/>
  <c r="C25" i="5" s="1"/>
  <c r="F25" i="5" s="1"/>
  <c r="U25" i="4"/>
  <c r="Q25" i="4"/>
  <c r="P25" i="4"/>
  <c r="T25" i="4"/>
  <c r="R25" i="4"/>
  <c r="S25" i="4"/>
  <c r="O21" i="6"/>
  <c r="G21" i="6"/>
  <c r="H21" i="6"/>
  <c r="I21" i="6"/>
  <c r="J21" i="6"/>
  <c r="K21" i="6"/>
  <c r="L21" i="6"/>
  <c r="M21" i="6"/>
  <c r="N21" i="6"/>
  <c r="E25" i="4"/>
  <c r="C25" i="4"/>
  <c r="D25" i="4"/>
  <c r="F25" i="4"/>
  <c r="G25" i="4"/>
  <c r="H25" i="4"/>
  <c r="I25" i="4"/>
  <c r="J25" i="4"/>
  <c r="K25" i="4"/>
  <c r="L25" i="4"/>
  <c r="M25" i="4"/>
  <c r="N25" i="4"/>
  <c r="O25" i="4"/>
  <c r="B26" i="3"/>
  <c r="B28" i="5"/>
  <c r="C21" i="6"/>
  <c r="E21" i="6"/>
  <c r="D21" i="6"/>
  <c r="B22" i="6"/>
  <c r="J26" i="3" l="1"/>
  <c r="F26" i="3"/>
  <c r="I26" i="3"/>
  <c r="E26" i="3"/>
  <c r="G26" i="3"/>
  <c r="H26" i="3"/>
  <c r="D26" i="3"/>
  <c r="C26" i="3"/>
  <c r="Q26" i="4"/>
  <c r="U26" i="4"/>
  <c r="P26" i="4"/>
  <c r="T26" i="4"/>
  <c r="R26" i="4"/>
  <c r="S26" i="4"/>
  <c r="O22" i="6"/>
  <c r="G22" i="6"/>
  <c r="H22" i="6"/>
  <c r="I22" i="6"/>
  <c r="J22" i="6"/>
  <c r="K22" i="6"/>
  <c r="L22" i="6"/>
  <c r="M22" i="6"/>
  <c r="N22" i="6"/>
  <c r="B27" i="3"/>
  <c r="D26" i="4"/>
  <c r="E26" i="4"/>
  <c r="C26" i="4"/>
  <c r="F26" i="4"/>
  <c r="G26" i="4"/>
  <c r="H26" i="4"/>
  <c r="I26" i="4"/>
  <c r="J26" i="4"/>
  <c r="K26" i="4"/>
  <c r="L26" i="4"/>
  <c r="M26" i="4"/>
  <c r="N26" i="4"/>
  <c r="O26" i="4"/>
  <c r="B29" i="5"/>
  <c r="D22" i="6"/>
  <c r="C22" i="6"/>
  <c r="B23" i="6"/>
  <c r="E22" i="6"/>
  <c r="J27" i="3" l="1"/>
  <c r="F27" i="3"/>
  <c r="I27" i="3"/>
  <c r="E27" i="3"/>
  <c r="G27" i="3"/>
  <c r="D27" i="3"/>
  <c r="H27" i="3"/>
  <c r="C27" i="3"/>
  <c r="D26" i="5"/>
  <c r="C26" i="5" s="1"/>
  <c r="F26" i="5" s="1"/>
  <c r="T27" i="4"/>
  <c r="U27" i="4"/>
  <c r="Q27" i="4"/>
  <c r="P27" i="4"/>
  <c r="R27" i="4"/>
  <c r="S27" i="4"/>
  <c r="G23" i="6"/>
  <c r="H23" i="6"/>
  <c r="I23" i="6"/>
  <c r="J23" i="6"/>
  <c r="K23" i="6"/>
  <c r="L23" i="6"/>
  <c r="M23" i="6"/>
  <c r="N23" i="6"/>
  <c r="O23" i="6"/>
  <c r="C27" i="4"/>
  <c r="E27" i="4"/>
  <c r="D27" i="4"/>
  <c r="F27" i="4"/>
  <c r="G27" i="4"/>
  <c r="H27" i="4"/>
  <c r="I27" i="4"/>
  <c r="J27" i="4"/>
  <c r="K27" i="4"/>
  <c r="L27" i="4"/>
  <c r="M27" i="4"/>
  <c r="N27" i="4"/>
  <c r="O27" i="4"/>
  <c r="B28" i="3"/>
  <c r="B30" i="5"/>
  <c r="C23" i="6"/>
  <c r="E23" i="6"/>
  <c r="D23" i="6"/>
  <c r="B24" i="6"/>
  <c r="J28" i="3" l="1"/>
  <c r="F28" i="3"/>
  <c r="I28" i="3"/>
  <c r="E28" i="3"/>
  <c r="G28" i="3"/>
  <c r="H28" i="3"/>
  <c r="D28" i="3"/>
  <c r="C28" i="3"/>
  <c r="U28" i="4"/>
  <c r="Q28" i="4"/>
  <c r="P28" i="4"/>
  <c r="T28" i="4"/>
  <c r="R28" i="4"/>
  <c r="S28" i="4"/>
  <c r="O24" i="6"/>
  <c r="G24" i="6"/>
  <c r="H24" i="6"/>
  <c r="I24" i="6"/>
  <c r="J24" i="6"/>
  <c r="K24" i="6"/>
  <c r="L24" i="6"/>
  <c r="M24" i="6"/>
  <c r="N24" i="6"/>
  <c r="D28" i="4"/>
  <c r="E28" i="4"/>
  <c r="C28" i="4"/>
  <c r="F28" i="4"/>
  <c r="G28" i="4"/>
  <c r="H28" i="4"/>
  <c r="I28" i="4"/>
  <c r="J28" i="4"/>
  <c r="K28" i="4"/>
  <c r="L28" i="4"/>
  <c r="M28" i="4"/>
  <c r="N28" i="4"/>
  <c r="O28" i="4"/>
  <c r="B29" i="3"/>
  <c r="B31" i="5"/>
  <c r="E24" i="6"/>
  <c r="D24" i="6"/>
  <c r="C24" i="6"/>
  <c r="J29" i="3" l="1"/>
  <c r="F29" i="3"/>
  <c r="I29" i="3"/>
  <c r="E29" i="3"/>
  <c r="G29" i="3"/>
  <c r="D29" i="3"/>
  <c r="C29" i="3"/>
  <c r="H29" i="3"/>
  <c r="D27" i="5"/>
  <c r="C27" i="5" s="1"/>
  <c r="F27" i="5" s="1"/>
  <c r="U29" i="4"/>
  <c r="Q29" i="4"/>
  <c r="P29" i="4"/>
  <c r="T29" i="4"/>
  <c r="R29" i="4"/>
  <c r="S29" i="4"/>
  <c r="B30" i="3"/>
  <c r="E29" i="4"/>
  <c r="C29" i="4"/>
  <c r="D29" i="4"/>
  <c r="F29" i="4"/>
  <c r="G29" i="4"/>
  <c r="H29" i="4"/>
  <c r="I29" i="4"/>
  <c r="J29" i="4"/>
  <c r="K29" i="4"/>
  <c r="L29" i="4"/>
  <c r="M29" i="4"/>
  <c r="N29" i="4"/>
  <c r="O29" i="4"/>
  <c r="B32" i="5"/>
  <c r="J30" i="3" l="1"/>
  <c r="F30" i="3"/>
  <c r="I30" i="3"/>
  <c r="E30" i="3"/>
  <c r="G30" i="3"/>
  <c r="D30" i="3"/>
  <c r="H30" i="3"/>
  <c r="C30" i="3"/>
  <c r="T30" i="4"/>
  <c r="P30" i="4"/>
  <c r="U30" i="4"/>
  <c r="Q30" i="4"/>
  <c r="R30" i="4"/>
  <c r="S30" i="4"/>
  <c r="B31" i="3"/>
  <c r="D30" i="4"/>
  <c r="E30" i="4"/>
  <c r="C30" i="4"/>
  <c r="F30" i="4"/>
  <c r="G30" i="4"/>
  <c r="H30" i="4"/>
  <c r="I30" i="4"/>
  <c r="J30" i="4"/>
  <c r="K30" i="4"/>
  <c r="L30" i="4"/>
  <c r="M30" i="4"/>
  <c r="N30" i="4"/>
  <c r="O30" i="4"/>
  <c r="B33" i="5"/>
  <c r="G31" i="3" l="1"/>
  <c r="C31" i="3"/>
  <c r="J31" i="3"/>
  <c r="F31" i="3"/>
  <c r="I31" i="3"/>
  <c r="E31" i="3"/>
  <c r="H31" i="3"/>
  <c r="D31" i="3"/>
  <c r="D28" i="5"/>
  <c r="C28" i="5" s="1"/>
  <c r="F28" i="5" s="1"/>
  <c r="T31" i="4"/>
  <c r="U31" i="4"/>
  <c r="Q31" i="4"/>
  <c r="P31" i="4"/>
  <c r="R31" i="4"/>
  <c r="S31" i="4"/>
  <c r="B32" i="3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B34" i="5"/>
  <c r="G32" i="3" l="1"/>
  <c r="C32" i="3"/>
  <c r="J32" i="3"/>
  <c r="F32" i="3"/>
  <c r="I32" i="3"/>
  <c r="E32" i="3"/>
  <c r="D32" i="3"/>
  <c r="H32" i="3"/>
  <c r="T32" i="4"/>
  <c r="U32" i="4"/>
  <c r="Q32" i="4"/>
  <c r="P32" i="4"/>
  <c r="R32" i="4"/>
  <c r="S32" i="4"/>
  <c r="B33" i="3"/>
  <c r="E32" i="4"/>
  <c r="C32" i="4"/>
  <c r="D32" i="4"/>
  <c r="F32" i="4"/>
  <c r="G32" i="4"/>
  <c r="H32" i="4"/>
  <c r="I32" i="4"/>
  <c r="J32" i="4"/>
  <c r="K32" i="4"/>
  <c r="L32" i="4"/>
  <c r="M32" i="4"/>
  <c r="N32" i="4"/>
  <c r="O32" i="4"/>
  <c r="B35" i="5"/>
  <c r="G33" i="3" l="1"/>
  <c r="C33" i="3"/>
  <c r="J33" i="3"/>
  <c r="F33" i="3"/>
  <c r="I33" i="3"/>
  <c r="E33" i="3"/>
  <c r="H33" i="3"/>
  <c r="D33" i="3"/>
  <c r="D29" i="5"/>
  <c r="C29" i="5" s="1"/>
  <c r="F29" i="5" s="1"/>
  <c r="T33" i="4"/>
  <c r="U33" i="4"/>
  <c r="Q33" i="4"/>
  <c r="P33" i="4"/>
  <c r="R33" i="4"/>
  <c r="S33" i="4"/>
  <c r="B34" i="3"/>
  <c r="D33" i="4"/>
  <c r="E33" i="4"/>
  <c r="C33" i="4"/>
  <c r="F33" i="4"/>
  <c r="G33" i="4"/>
  <c r="H33" i="4"/>
  <c r="I33" i="4"/>
  <c r="J33" i="4"/>
  <c r="K33" i="4"/>
  <c r="L33" i="4"/>
  <c r="M33" i="4"/>
  <c r="N33" i="4"/>
  <c r="O33" i="4"/>
  <c r="B36" i="5"/>
  <c r="G34" i="3" l="1"/>
  <c r="C34" i="3"/>
  <c r="J34" i="3"/>
  <c r="F34" i="3"/>
  <c r="I34" i="3"/>
  <c r="E34" i="3"/>
  <c r="D34" i="3"/>
  <c r="H34" i="3"/>
  <c r="B35" i="3"/>
  <c r="T34" i="4"/>
  <c r="Q34" i="4"/>
  <c r="U34" i="4"/>
  <c r="P34" i="4"/>
  <c r="R34" i="4"/>
  <c r="S34" i="4"/>
  <c r="E34" i="4"/>
  <c r="C34" i="4"/>
  <c r="D34" i="4"/>
  <c r="F34" i="4"/>
  <c r="G34" i="4"/>
  <c r="H34" i="4"/>
  <c r="I34" i="4"/>
  <c r="J34" i="4"/>
  <c r="K34" i="4"/>
  <c r="L34" i="4"/>
  <c r="M34" i="4"/>
  <c r="N34" i="4"/>
  <c r="O34" i="4"/>
  <c r="B37" i="5"/>
  <c r="B36" i="3" l="1"/>
  <c r="G35" i="3"/>
  <c r="C35" i="3"/>
  <c r="J35" i="3"/>
  <c r="F35" i="3"/>
  <c r="I35" i="3"/>
  <c r="E35" i="3"/>
  <c r="H35" i="3"/>
  <c r="D35" i="3"/>
  <c r="D30" i="5"/>
  <c r="C30" i="5" s="1"/>
  <c r="F30" i="5" s="1"/>
  <c r="T35" i="4"/>
  <c r="U35" i="4"/>
  <c r="Q35" i="4"/>
  <c r="P35" i="4"/>
  <c r="R35" i="4"/>
  <c r="S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B38" i="5"/>
  <c r="G36" i="3" l="1"/>
  <c r="C36" i="3"/>
  <c r="J36" i="3"/>
  <c r="F36" i="3"/>
  <c r="I36" i="3"/>
  <c r="E36" i="3"/>
  <c r="D36" i="3"/>
  <c r="H36" i="3"/>
  <c r="B37" i="3"/>
  <c r="T36" i="4"/>
  <c r="U36" i="4"/>
  <c r="Q36" i="4"/>
  <c r="P36" i="4"/>
  <c r="R36" i="4"/>
  <c r="S36" i="4"/>
  <c r="E36" i="4"/>
  <c r="C36" i="4"/>
  <c r="D36" i="4"/>
  <c r="F36" i="4"/>
  <c r="G36" i="4"/>
  <c r="H36" i="4"/>
  <c r="I36" i="4"/>
  <c r="J36" i="4"/>
  <c r="K36" i="4"/>
  <c r="L36" i="4"/>
  <c r="M36" i="4"/>
  <c r="N36" i="4"/>
  <c r="O36" i="4"/>
  <c r="B39" i="5"/>
  <c r="B38" i="3" l="1"/>
  <c r="H37" i="3"/>
  <c r="D37" i="3"/>
  <c r="F37" i="3"/>
  <c r="G37" i="3"/>
  <c r="J37" i="3"/>
  <c r="E37" i="3"/>
  <c r="C37" i="3"/>
  <c r="I37" i="3"/>
  <c r="D31" i="5"/>
  <c r="C31" i="5" s="1"/>
  <c r="F31" i="5" s="1"/>
  <c r="P37" i="4"/>
  <c r="T37" i="4"/>
  <c r="U37" i="4"/>
  <c r="Q37" i="4"/>
  <c r="R37" i="4"/>
  <c r="S37" i="4"/>
  <c r="D37" i="4"/>
  <c r="E37" i="4"/>
  <c r="C37" i="4"/>
  <c r="F37" i="4"/>
  <c r="G37" i="4"/>
  <c r="H37" i="4"/>
  <c r="I37" i="4"/>
  <c r="J37" i="4"/>
  <c r="K37" i="4"/>
  <c r="L37" i="4"/>
  <c r="M37" i="4"/>
  <c r="N37" i="4"/>
  <c r="O37" i="4"/>
  <c r="B40" i="5"/>
  <c r="I38" i="3" l="1"/>
  <c r="G38" i="3"/>
  <c r="D38" i="3"/>
  <c r="E38" i="3"/>
  <c r="C38" i="3"/>
  <c r="J38" i="3"/>
  <c r="H38" i="3"/>
  <c r="F38" i="3"/>
  <c r="T38" i="4"/>
  <c r="O38" i="4"/>
  <c r="I38" i="4"/>
  <c r="D38" i="4"/>
  <c r="K38" i="4"/>
  <c r="S38" i="4"/>
  <c r="M38" i="4"/>
  <c r="H38" i="4"/>
  <c r="C38" i="4"/>
  <c r="P38" i="4"/>
  <c r="E38" i="4"/>
  <c r="Q38" i="4"/>
  <c r="L38" i="4"/>
  <c r="G38" i="4"/>
  <c r="U38" i="4"/>
  <c r="F38" i="4"/>
  <c r="J38" i="4"/>
  <c r="N38" i="4"/>
  <c r="R38" i="4"/>
  <c r="B41" i="5"/>
  <c r="D32" i="5" l="1"/>
  <c r="C32" i="5" s="1"/>
  <c r="F32" i="5" s="1"/>
  <c r="H39" i="4"/>
  <c r="K39" i="4"/>
  <c r="N39" i="4"/>
  <c r="Q39" i="4"/>
  <c r="T39" i="4"/>
  <c r="D39" i="4"/>
  <c r="G39" i="4"/>
  <c r="J39" i="4"/>
  <c r="M39" i="4"/>
  <c r="P39" i="4"/>
  <c r="S39" i="4"/>
  <c r="C39" i="4"/>
  <c r="F39" i="4"/>
  <c r="I39" i="4"/>
  <c r="L39" i="4"/>
  <c r="O39" i="4"/>
  <c r="R39" i="4"/>
  <c r="U39" i="4"/>
  <c r="E39" i="4"/>
  <c r="B42" i="5"/>
  <c r="U40" i="4" l="1"/>
  <c r="N40" i="4"/>
  <c r="G40" i="4"/>
  <c r="D40" i="4"/>
  <c r="T40" i="4"/>
  <c r="Q40" i="4"/>
  <c r="R40" i="4"/>
  <c r="K40" i="4"/>
  <c r="H40" i="4"/>
  <c r="E40" i="4"/>
  <c r="F40" i="4"/>
  <c r="O40" i="4"/>
  <c r="L40" i="4"/>
  <c r="I40" i="4"/>
  <c r="J40" i="4"/>
  <c r="C40" i="4"/>
  <c r="S40" i="4"/>
  <c r="P40" i="4"/>
  <c r="M40" i="4"/>
  <c r="B43" i="5"/>
  <c r="D33" i="5" l="1"/>
  <c r="C33" i="5" s="1"/>
  <c r="F33" i="5" s="1"/>
  <c r="I41" i="4"/>
  <c r="L41" i="4"/>
  <c r="O41" i="4"/>
  <c r="R41" i="4"/>
  <c r="U41" i="4"/>
  <c r="E41" i="4"/>
  <c r="H41" i="4"/>
  <c r="K41" i="4"/>
  <c r="N41" i="4"/>
  <c r="M41" i="4"/>
  <c r="S41" i="4"/>
  <c r="F41" i="4"/>
  <c r="Q41" i="4"/>
  <c r="T41" i="4"/>
  <c r="D41" i="4"/>
  <c r="G41" i="4"/>
  <c r="J41" i="4"/>
  <c r="P41" i="4"/>
  <c r="C41" i="4"/>
  <c r="B44" i="5"/>
  <c r="U42" i="4" l="1"/>
  <c r="J42" i="4"/>
  <c r="C42" i="4"/>
  <c r="S42" i="4"/>
  <c r="P42" i="4"/>
  <c r="M42" i="4"/>
  <c r="N42" i="4"/>
  <c r="G42" i="4"/>
  <c r="D42" i="4"/>
  <c r="T42" i="4"/>
  <c r="Q42" i="4"/>
  <c r="R42" i="4"/>
  <c r="K42" i="4"/>
  <c r="H42" i="4"/>
  <c r="E42" i="4"/>
  <c r="F42" i="4"/>
  <c r="O42" i="4"/>
  <c r="L42" i="4"/>
  <c r="I42" i="4"/>
  <c r="B45" i="5"/>
  <c r="D34" i="5" l="1"/>
  <c r="C34" i="5" s="1"/>
  <c r="F34" i="5" s="1"/>
  <c r="M43" i="4"/>
  <c r="P43" i="4"/>
  <c r="S43" i="4"/>
  <c r="C43" i="4"/>
  <c r="F43" i="4"/>
  <c r="I43" i="4"/>
  <c r="L43" i="4"/>
  <c r="O43" i="4"/>
  <c r="R43" i="4"/>
  <c r="T43" i="4"/>
  <c r="G43" i="4"/>
  <c r="U43" i="4"/>
  <c r="E43" i="4"/>
  <c r="H43" i="4"/>
  <c r="K43" i="4"/>
  <c r="N43" i="4"/>
  <c r="Q43" i="4"/>
  <c r="D43" i="4"/>
  <c r="J43" i="4"/>
  <c r="B46" i="5"/>
  <c r="U44" i="4" l="1"/>
  <c r="F44" i="4"/>
  <c r="O44" i="4"/>
  <c r="L44" i="4"/>
  <c r="I44" i="4"/>
  <c r="J44" i="4"/>
  <c r="C44" i="4"/>
  <c r="S44" i="4"/>
  <c r="P44" i="4"/>
  <c r="M44" i="4"/>
  <c r="N44" i="4"/>
  <c r="G44" i="4"/>
  <c r="D44" i="4"/>
  <c r="T44" i="4"/>
  <c r="Q44" i="4"/>
  <c r="R44" i="4"/>
  <c r="K44" i="4"/>
  <c r="H44" i="4"/>
  <c r="E44" i="4"/>
  <c r="B47" i="5"/>
  <c r="D35" i="5" l="1"/>
  <c r="C35" i="5" s="1"/>
  <c r="F35" i="5" s="1"/>
  <c r="Q45" i="4"/>
  <c r="T45" i="4"/>
  <c r="D45" i="4"/>
  <c r="G45" i="4"/>
  <c r="J45" i="4"/>
  <c r="M45" i="4"/>
  <c r="P45" i="4"/>
  <c r="S45" i="4"/>
  <c r="C45" i="4"/>
  <c r="F45" i="4"/>
  <c r="E45" i="4"/>
  <c r="H45" i="4"/>
  <c r="N45" i="4"/>
  <c r="I45" i="4"/>
  <c r="L45" i="4"/>
  <c r="O45" i="4"/>
  <c r="R45" i="4"/>
  <c r="U45" i="4"/>
  <c r="K45" i="4"/>
  <c r="B48" i="5"/>
  <c r="B49" i="5" l="1"/>
  <c r="D36" i="5" l="1"/>
  <c r="C36" i="5" s="1"/>
  <c r="F36" i="5" s="1"/>
  <c r="B50" i="5"/>
  <c r="B51" i="5" l="1"/>
  <c r="D37" i="5" l="1"/>
  <c r="C37" i="5" s="1"/>
  <c r="F37" i="5" s="1"/>
  <c r="B52" i="5"/>
  <c r="B53" i="5" l="1"/>
  <c r="D38" i="5" l="1"/>
  <c r="C38" i="5" s="1"/>
  <c r="F38" i="5" s="1"/>
  <c r="B54" i="5"/>
  <c r="B55" i="5" l="1"/>
  <c r="D39" i="5" l="1"/>
  <c r="C39" i="5" s="1"/>
  <c r="F39" i="5" s="1"/>
  <c r="B56" i="5"/>
  <c r="B57" i="5" l="1"/>
  <c r="D40" i="5" l="1"/>
  <c r="C40" i="5" s="1"/>
  <c r="F40" i="5" s="1"/>
  <c r="B58" i="5"/>
  <c r="B59" i="5" l="1"/>
  <c r="D41" i="5" l="1"/>
  <c r="C41" i="5" s="1"/>
  <c r="F41" i="5" s="1"/>
  <c r="B60" i="5"/>
  <c r="B61" i="5" l="1"/>
  <c r="D42" i="5" l="1"/>
  <c r="C42" i="5" s="1"/>
  <c r="F42" i="5" s="1"/>
  <c r="B62" i="5"/>
  <c r="B63" i="5" l="1"/>
  <c r="D43" i="5" l="1"/>
  <c r="C43" i="5" s="1"/>
  <c r="F43" i="5" s="1"/>
  <c r="B64" i="5"/>
  <c r="B65" i="5" l="1"/>
  <c r="D44" i="5" l="1"/>
  <c r="C44" i="5" s="1"/>
  <c r="F44" i="5" s="1"/>
  <c r="B66" i="5"/>
  <c r="B67" i="5" l="1"/>
  <c r="D45" i="5" l="1"/>
  <c r="C45" i="5" s="1"/>
  <c r="F45" i="5" s="1"/>
  <c r="B68" i="5"/>
  <c r="B69" i="5" l="1"/>
  <c r="D46" i="5" l="1"/>
  <c r="C46" i="5" s="1"/>
  <c r="F46" i="5" s="1"/>
  <c r="B70" i="5"/>
  <c r="B71" i="5" l="1"/>
  <c r="D47" i="5" l="1"/>
  <c r="C47" i="5" s="1"/>
  <c r="F47" i="5" s="1"/>
  <c r="B72" i="5"/>
  <c r="B73" i="5" l="1"/>
  <c r="D48" i="5" l="1"/>
  <c r="C48" i="5" s="1"/>
  <c r="F48" i="5" s="1"/>
  <c r="B74" i="5"/>
  <c r="B75" i="5" l="1"/>
  <c r="D49" i="5" l="1"/>
  <c r="C49" i="5" s="1"/>
  <c r="F49" i="5" s="1"/>
  <c r="B76" i="5"/>
  <c r="B77" i="5" l="1"/>
  <c r="D50" i="5" l="1"/>
  <c r="C50" i="5" s="1"/>
  <c r="F50" i="5" s="1"/>
  <c r="B78" i="5"/>
  <c r="B79" i="5" l="1"/>
  <c r="D51" i="5" l="1"/>
  <c r="C51" i="5" s="1"/>
  <c r="F51" i="5" s="1"/>
  <c r="B80" i="5"/>
  <c r="B81" i="5" l="1"/>
  <c r="D52" i="5" l="1"/>
  <c r="C52" i="5" s="1"/>
  <c r="F52" i="5" s="1"/>
  <c r="B82" i="5"/>
  <c r="B83" i="5" l="1"/>
  <c r="D53" i="5" l="1"/>
  <c r="C53" i="5" s="1"/>
  <c r="F53" i="5" s="1"/>
  <c r="B84" i="5"/>
  <c r="B85" i="5" l="1"/>
  <c r="D54" i="5" l="1"/>
  <c r="C54" i="5" s="1"/>
  <c r="F54" i="5" s="1"/>
  <c r="B86" i="5"/>
  <c r="B87" i="5" l="1"/>
  <c r="D55" i="5" l="1"/>
  <c r="C55" i="5" s="1"/>
  <c r="F55" i="5" s="1"/>
  <c r="B88" i="5"/>
  <c r="B89" i="5" l="1"/>
  <c r="D56" i="5" l="1"/>
  <c r="C56" i="5" s="1"/>
  <c r="F56" i="5" s="1"/>
  <c r="B90" i="5"/>
  <c r="B91" i="5" l="1"/>
  <c r="D57" i="5" l="1"/>
  <c r="C57" i="5" s="1"/>
  <c r="F57" i="5" s="1"/>
  <c r="B92" i="5"/>
  <c r="B93" i="5" l="1"/>
  <c r="D58" i="5" l="1"/>
  <c r="C58" i="5" s="1"/>
  <c r="F58" i="5" s="1"/>
  <c r="B94" i="5"/>
  <c r="B95" i="5" l="1"/>
  <c r="D59" i="5" l="1"/>
  <c r="C59" i="5" s="1"/>
  <c r="F59" i="5" s="1"/>
  <c r="B96" i="5"/>
  <c r="B97" i="5" l="1"/>
  <c r="D60" i="5" l="1"/>
  <c r="C60" i="5" s="1"/>
  <c r="F60" i="5" s="1"/>
  <c r="B98" i="5"/>
  <c r="B99" i="5" l="1"/>
  <c r="D61" i="5" l="1"/>
  <c r="C61" i="5" s="1"/>
  <c r="F61" i="5" s="1"/>
  <c r="B100" i="5"/>
  <c r="B101" i="5" l="1"/>
  <c r="D62" i="5" l="1"/>
  <c r="C62" i="5" s="1"/>
  <c r="F62" i="5" s="1"/>
  <c r="B102" i="5"/>
  <c r="B103" i="5" l="1"/>
  <c r="D63" i="5" l="1"/>
  <c r="C63" i="5" s="1"/>
  <c r="F63" i="5" s="1"/>
  <c r="B104" i="5"/>
  <c r="B105" i="5" l="1"/>
  <c r="D64" i="5" l="1"/>
  <c r="C64" i="5" s="1"/>
  <c r="F64" i="5" s="1"/>
  <c r="B106" i="5"/>
  <c r="B107" i="5" l="1"/>
  <c r="D65" i="5" l="1"/>
  <c r="C65" i="5" s="1"/>
  <c r="F65" i="5" s="1"/>
  <c r="B108" i="5"/>
  <c r="B109" i="5" l="1"/>
  <c r="D66" i="5" l="1"/>
  <c r="C66" i="5" s="1"/>
  <c r="F66" i="5" s="1"/>
  <c r="B110" i="5"/>
  <c r="B111" i="5" l="1"/>
  <c r="D67" i="5" l="1"/>
  <c r="C67" i="5" s="1"/>
  <c r="F67" i="5" s="1"/>
  <c r="B112" i="5"/>
  <c r="B113" i="5" l="1"/>
  <c r="D68" i="5" l="1"/>
  <c r="C68" i="5" s="1"/>
  <c r="F68" i="5" s="1"/>
  <c r="B114" i="5"/>
  <c r="B115" i="5" l="1"/>
  <c r="D69" i="5" l="1"/>
  <c r="C69" i="5" s="1"/>
  <c r="F69" i="5" s="1"/>
  <c r="B116" i="5"/>
  <c r="B117" i="5" l="1"/>
  <c r="D70" i="5" l="1"/>
  <c r="C70" i="5" s="1"/>
  <c r="F70" i="5" s="1"/>
  <c r="B118" i="5"/>
  <c r="B119" i="5" l="1"/>
  <c r="D71" i="5" l="1"/>
  <c r="C71" i="5" s="1"/>
  <c r="F71" i="5" s="1"/>
  <c r="B120" i="5"/>
  <c r="B121" i="5" l="1"/>
  <c r="D72" i="5" l="1"/>
  <c r="C72" i="5" s="1"/>
  <c r="F72" i="5" s="1"/>
  <c r="B122" i="5"/>
  <c r="B123" i="5" l="1"/>
  <c r="D73" i="5" l="1"/>
  <c r="C73" i="5" s="1"/>
  <c r="F73" i="5" s="1"/>
  <c r="B124" i="5"/>
  <c r="B125" i="5" l="1"/>
  <c r="D74" i="5" l="1"/>
  <c r="C74" i="5" s="1"/>
  <c r="F74" i="5" s="1"/>
  <c r="B126" i="5"/>
  <c r="B127" i="5" l="1"/>
  <c r="D75" i="5" l="1"/>
  <c r="C75" i="5" s="1"/>
  <c r="F75" i="5" s="1"/>
  <c r="B128" i="5"/>
  <c r="B129" i="5" l="1"/>
  <c r="D76" i="5" l="1"/>
  <c r="C76" i="5" s="1"/>
  <c r="F76" i="5" s="1"/>
  <c r="B130" i="5"/>
  <c r="B131" i="5" l="1"/>
  <c r="D77" i="5" l="1"/>
  <c r="C77" i="5" s="1"/>
  <c r="F77" i="5" s="1"/>
  <c r="B132" i="5"/>
  <c r="B133" i="5" l="1"/>
  <c r="D78" i="5" l="1"/>
  <c r="C78" i="5" s="1"/>
  <c r="F78" i="5" s="1"/>
  <c r="B134" i="5"/>
  <c r="B135" i="5" l="1"/>
  <c r="D79" i="5" l="1"/>
  <c r="C79" i="5" s="1"/>
  <c r="F79" i="5" s="1"/>
  <c r="B136" i="5"/>
  <c r="B137" i="5" l="1"/>
  <c r="D80" i="5" l="1"/>
  <c r="C80" i="5" s="1"/>
  <c r="F80" i="5" s="1"/>
  <c r="B138" i="5"/>
  <c r="B139" i="5" l="1"/>
  <c r="D81" i="5" l="1"/>
  <c r="C81" i="5" s="1"/>
  <c r="F81" i="5" s="1"/>
  <c r="B140" i="5"/>
  <c r="B141" i="5" l="1"/>
  <c r="D82" i="5" l="1"/>
  <c r="C82" i="5" s="1"/>
  <c r="F82" i="5" s="1"/>
  <c r="B142" i="5"/>
  <c r="B143" i="5" l="1"/>
  <c r="D83" i="5" l="1"/>
  <c r="C83" i="5" s="1"/>
  <c r="F83" i="5" s="1"/>
  <c r="B144" i="5"/>
  <c r="B145" i="5" l="1"/>
  <c r="D84" i="5" l="1"/>
  <c r="C84" i="5" s="1"/>
  <c r="F84" i="5" s="1"/>
  <c r="B146" i="5"/>
  <c r="B147" i="5" l="1"/>
  <c r="D85" i="5" l="1"/>
  <c r="C85" i="5" s="1"/>
  <c r="F85" i="5" s="1"/>
  <c r="B148" i="5"/>
  <c r="B149" i="5" l="1"/>
  <c r="D86" i="5" l="1"/>
  <c r="C86" i="5" s="1"/>
  <c r="F86" i="5" s="1"/>
  <c r="B150" i="5"/>
  <c r="B151" i="5" l="1"/>
  <c r="D87" i="5" l="1"/>
  <c r="C87" i="5" s="1"/>
  <c r="F87" i="5" s="1"/>
  <c r="B152" i="5"/>
  <c r="B153" i="5" l="1"/>
  <c r="D88" i="5" l="1"/>
  <c r="C88" i="5" s="1"/>
  <c r="F88" i="5" s="1"/>
  <c r="B154" i="5"/>
  <c r="B155" i="5" l="1"/>
  <c r="D89" i="5" l="1"/>
  <c r="C89" i="5" s="1"/>
  <c r="F89" i="5" s="1"/>
  <c r="B156" i="5"/>
  <c r="B157" i="5" l="1"/>
  <c r="D90" i="5" l="1"/>
  <c r="C90" i="5" s="1"/>
  <c r="F90" i="5" s="1"/>
  <c r="B158" i="5"/>
  <c r="B159" i="5" l="1"/>
  <c r="D91" i="5" l="1"/>
  <c r="C91" i="5" s="1"/>
  <c r="F91" i="5" s="1"/>
  <c r="B160" i="5"/>
  <c r="B161" i="5" l="1"/>
  <c r="D92" i="5" l="1"/>
  <c r="C92" i="5" s="1"/>
  <c r="F92" i="5" s="1"/>
  <c r="B162" i="5"/>
  <c r="B163" i="5" l="1"/>
  <c r="D93" i="5" l="1"/>
  <c r="C93" i="5" s="1"/>
  <c r="F93" i="5" s="1"/>
  <c r="B164" i="5"/>
  <c r="B165" i="5" l="1"/>
  <c r="D94" i="5" l="1"/>
  <c r="C94" i="5" s="1"/>
  <c r="F94" i="5" s="1"/>
  <c r="B166" i="5"/>
  <c r="B167" i="5" l="1"/>
  <c r="D95" i="5" l="1"/>
  <c r="C95" i="5" s="1"/>
  <c r="F95" i="5" s="1"/>
  <c r="B168" i="5"/>
  <c r="B169" i="5" l="1"/>
  <c r="D96" i="5" l="1"/>
  <c r="C96" i="5" s="1"/>
  <c r="F96" i="5" s="1"/>
  <c r="B170" i="5"/>
  <c r="B171" i="5" l="1"/>
  <c r="D97" i="5" l="1"/>
  <c r="C97" i="5" s="1"/>
  <c r="F97" i="5" s="1"/>
  <c r="B172" i="5"/>
  <c r="B173" i="5" l="1"/>
  <c r="D98" i="5" l="1"/>
  <c r="C98" i="5" s="1"/>
  <c r="F98" i="5" s="1"/>
  <c r="B174" i="5"/>
  <c r="B175" i="5" l="1"/>
  <c r="D99" i="5" l="1"/>
  <c r="C99" i="5" s="1"/>
  <c r="F99" i="5" s="1"/>
  <c r="B176" i="5"/>
  <c r="B177" i="5" l="1"/>
  <c r="D100" i="5" l="1"/>
  <c r="C100" i="5" s="1"/>
  <c r="F100" i="5" s="1"/>
  <c r="B178" i="5"/>
  <c r="B179" i="5" l="1"/>
  <c r="D101" i="5" l="1"/>
  <c r="C101" i="5" s="1"/>
  <c r="F101" i="5" s="1"/>
  <c r="B180" i="5"/>
  <c r="B181" i="5" l="1"/>
  <c r="D102" i="5" l="1"/>
  <c r="C102" i="5" s="1"/>
  <c r="F102" i="5" s="1"/>
  <c r="B182" i="5"/>
  <c r="B183" i="5" l="1"/>
  <c r="D103" i="5" l="1"/>
  <c r="C103" i="5" s="1"/>
  <c r="F103" i="5" s="1"/>
  <c r="B184" i="5"/>
  <c r="B185" i="5" l="1"/>
  <c r="D104" i="5" l="1"/>
  <c r="C104" i="5" s="1"/>
  <c r="F104" i="5" s="1"/>
  <c r="B186" i="5"/>
  <c r="B187" i="5" l="1"/>
  <c r="D105" i="5" l="1"/>
  <c r="C105" i="5" s="1"/>
  <c r="F105" i="5" s="1"/>
  <c r="B188" i="5"/>
  <c r="B189" i="5" l="1"/>
  <c r="D106" i="5" l="1"/>
  <c r="C106" i="5" s="1"/>
  <c r="F106" i="5" s="1"/>
  <c r="B190" i="5"/>
  <c r="B191" i="5" l="1"/>
  <c r="D107" i="5" l="1"/>
  <c r="C107" i="5" s="1"/>
  <c r="F107" i="5" s="1"/>
  <c r="B192" i="5"/>
  <c r="B193" i="5" l="1"/>
  <c r="D108" i="5" l="1"/>
  <c r="C108" i="5" s="1"/>
  <c r="F108" i="5" s="1"/>
  <c r="B194" i="5"/>
  <c r="B195" i="5" l="1"/>
  <c r="D109" i="5" l="1"/>
  <c r="C109" i="5" s="1"/>
  <c r="F109" i="5" s="1"/>
  <c r="B196" i="5"/>
  <c r="B197" i="5" l="1"/>
  <c r="D110" i="5" l="1"/>
  <c r="C110" i="5" s="1"/>
  <c r="F110" i="5" s="1"/>
  <c r="B198" i="5"/>
  <c r="B199" i="5" l="1"/>
  <c r="D111" i="5" l="1"/>
  <c r="C111" i="5" s="1"/>
  <c r="F111" i="5" s="1"/>
  <c r="B200" i="5"/>
  <c r="B201" i="5" l="1"/>
  <c r="D112" i="5" l="1"/>
  <c r="C112" i="5" s="1"/>
  <c r="F112" i="5" s="1"/>
  <c r="B202" i="5"/>
  <c r="B203" i="5" l="1"/>
  <c r="D113" i="5" l="1"/>
  <c r="C113" i="5" s="1"/>
  <c r="F113" i="5" s="1"/>
  <c r="B204" i="5"/>
  <c r="B205" i="5" l="1"/>
  <c r="D114" i="5" l="1"/>
  <c r="C114" i="5" s="1"/>
  <c r="F114" i="5" s="1"/>
  <c r="B206" i="5"/>
  <c r="B207" i="5" l="1"/>
  <c r="D115" i="5" l="1"/>
  <c r="C115" i="5" s="1"/>
  <c r="F115" i="5" s="1"/>
  <c r="B208" i="5"/>
  <c r="B209" i="5" l="1"/>
  <c r="D116" i="5" l="1"/>
  <c r="C116" i="5" s="1"/>
  <c r="F116" i="5" s="1"/>
  <c r="B210" i="5"/>
  <c r="B211" i="5" l="1"/>
  <c r="D117" i="5" l="1"/>
  <c r="C117" i="5" s="1"/>
  <c r="F117" i="5" s="1"/>
  <c r="B212" i="5"/>
  <c r="B213" i="5" l="1"/>
  <c r="D118" i="5" l="1"/>
  <c r="C118" i="5" s="1"/>
  <c r="F118" i="5" s="1"/>
  <c r="B214" i="5"/>
  <c r="B215" i="5" l="1"/>
  <c r="D119" i="5" l="1"/>
  <c r="C119" i="5" s="1"/>
  <c r="F119" i="5" s="1"/>
  <c r="B216" i="5"/>
  <c r="B217" i="5" l="1"/>
  <c r="D120" i="5" l="1"/>
  <c r="C120" i="5" s="1"/>
  <c r="F120" i="5" s="1"/>
  <c r="B218" i="5"/>
  <c r="B219" i="5" l="1"/>
  <c r="D121" i="5" l="1"/>
  <c r="C121" i="5" s="1"/>
  <c r="F121" i="5" s="1"/>
  <c r="B220" i="5"/>
  <c r="B221" i="5" l="1"/>
  <c r="D122" i="5" l="1"/>
  <c r="C122" i="5" s="1"/>
  <c r="F122" i="5" s="1"/>
  <c r="B222" i="5"/>
  <c r="B223" i="5" l="1"/>
  <c r="D123" i="5" l="1"/>
  <c r="C123" i="5" s="1"/>
  <c r="F123" i="5" s="1"/>
  <c r="B224" i="5"/>
  <c r="B225" i="5" l="1"/>
  <c r="D124" i="5" l="1"/>
  <c r="C124" i="5" s="1"/>
  <c r="F124" i="5" s="1"/>
  <c r="B226" i="5"/>
  <c r="B227" i="5" l="1"/>
  <c r="D125" i="5" l="1"/>
  <c r="C125" i="5" s="1"/>
  <c r="F125" i="5" s="1"/>
  <c r="B228" i="5"/>
  <c r="B229" i="5" l="1"/>
  <c r="D126" i="5" l="1"/>
  <c r="C126" i="5" s="1"/>
  <c r="F126" i="5" s="1"/>
  <c r="B230" i="5"/>
  <c r="B231" i="5" l="1"/>
  <c r="D127" i="5" l="1"/>
  <c r="C127" i="5" s="1"/>
  <c r="F127" i="5" s="1"/>
  <c r="B232" i="5"/>
  <c r="B233" i="5" l="1"/>
  <c r="D128" i="5" l="1"/>
  <c r="C128" i="5" s="1"/>
  <c r="F128" i="5" s="1"/>
  <c r="B234" i="5"/>
  <c r="B235" i="5" l="1"/>
  <c r="D129" i="5" l="1"/>
  <c r="C129" i="5" s="1"/>
  <c r="F129" i="5" s="1"/>
  <c r="B236" i="5"/>
  <c r="B237" i="5" l="1"/>
  <c r="D130" i="5" l="1"/>
  <c r="C130" i="5" s="1"/>
  <c r="F130" i="5" s="1"/>
  <c r="D131" i="5" s="1"/>
  <c r="C131" i="5" s="1"/>
  <c r="F131" i="5" s="1"/>
  <c r="D132" i="5" s="1"/>
  <c r="C132" i="5" s="1"/>
  <c r="F132" i="5" s="1"/>
  <c r="D133" i="5" s="1"/>
  <c r="C133" i="5" s="1"/>
  <c r="F133" i="5" s="1"/>
  <c r="D134" i="5" s="1"/>
  <c r="C134" i="5" s="1"/>
  <c r="F134" i="5" s="1"/>
  <c r="D135" i="5" s="1"/>
  <c r="C135" i="5" s="1"/>
  <c r="F135" i="5" s="1"/>
  <c r="D136" i="5" s="1"/>
  <c r="C136" i="5" s="1"/>
  <c r="F136" i="5" s="1"/>
  <c r="D137" i="5" s="1"/>
  <c r="C137" i="5" s="1"/>
  <c r="F137" i="5" s="1"/>
  <c r="D138" i="5" s="1"/>
  <c r="C138" i="5" s="1"/>
  <c r="F138" i="5" s="1"/>
  <c r="D139" i="5" s="1"/>
  <c r="C139" i="5" s="1"/>
  <c r="F139" i="5" s="1"/>
  <c r="D140" i="5" s="1"/>
  <c r="C140" i="5" s="1"/>
  <c r="F140" i="5" s="1"/>
  <c r="D141" i="5" s="1"/>
  <c r="C141" i="5" s="1"/>
  <c r="F141" i="5" s="1"/>
  <c r="D142" i="5" s="1"/>
  <c r="C142" i="5" s="1"/>
  <c r="F142" i="5" s="1"/>
  <c r="D143" i="5" s="1"/>
  <c r="C143" i="5" s="1"/>
  <c r="F143" i="5" s="1"/>
  <c r="D144" i="5" s="1"/>
  <c r="C144" i="5" s="1"/>
  <c r="F144" i="5" s="1"/>
  <c r="D145" i="5" s="1"/>
  <c r="C145" i="5" s="1"/>
  <c r="F145" i="5" s="1"/>
  <c r="D146" i="5" s="1"/>
  <c r="C146" i="5" s="1"/>
  <c r="F146" i="5" s="1"/>
  <c r="D147" i="5" s="1"/>
  <c r="C147" i="5" s="1"/>
  <c r="F147" i="5" s="1"/>
  <c r="D148" i="5" s="1"/>
  <c r="C148" i="5" s="1"/>
  <c r="F148" i="5" s="1"/>
  <c r="D149" i="5" s="1"/>
  <c r="C149" i="5" s="1"/>
  <c r="F149" i="5" s="1"/>
  <c r="D150" i="5" s="1"/>
  <c r="C150" i="5" s="1"/>
  <c r="F150" i="5" s="1"/>
  <c r="D151" i="5" s="1"/>
  <c r="C151" i="5" s="1"/>
  <c r="F151" i="5" s="1"/>
  <c r="D152" i="5" s="1"/>
  <c r="C152" i="5" s="1"/>
  <c r="F152" i="5" s="1"/>
  <c r="D153" i="5" s="1"/>
  <c r="C153" i="5" s="1"/>
  <c r="F153" i="5" s="1"/>
  <c r="D154" i="5" s="1"/>
  <c r="C154" i="5" s="1"/>
  <c r="F154" i="5" s="1"/>
  <c r="D155" i="5" s="1"/>
  <c r="C155" i="5" s="1"/>
  <c r="F155" i="5" s="1"/>
  <c r="D156" i="5" s="1"/>
  <c r="C156" i="5" s="1"/>
  <c r="F156" i="5" s="1"/>
  <c r="D157" i="5" s="1"/>
  <c r="C157" i="5" s="1"/>
  <c r="F157" i="5" s="1"/>
  <c r="D158" i="5" s="1"/>
  <c r="C158" i="5" s="1"/>
  <c r="F158" i="5" s="1"/>
  <c r="D159" i="5" s="1"/>
  <c r="C159" i="5" s="1"/>
  <c r="F159" i="5" s="1"/>
  <c r="D160" i="5" s="1"/>
  <c r="C160" i="5" s="1"/>
  <c r="F160" i="5" s="1"/>
  <c r="D161" i="5" s="1"/>
  <c r="C161" i="5" s="1"/>
  <c r="F161" i="5" s="1"/>
  <c r="D162" i="5" s="1"/>
  <c r="C162" i="5" s="1"/>
  <c r="F162" i="5" s="1"/>
  <c r="D163" i="5" s="1"/>
  <c r="C163" i="5" s="1"/>
  <c r="F163" i="5" s="1"/>
  <c r="D164" i="5" s="1"/>
  <c r="C164" i="5" s="1"/>
  <c r="F164" i="5" s="1"/>
  <c r="D165" i="5" s="1"/>
  <c r="C165" i="5" s="1"/>
  <c r="F165" i="5" s="1"/>
  <c r="D166" i="5" s="1"/>
  <c r="C166" i="5" s="1"/>
  <c r="F166" i="5" s="1"/>
  <c r="D167" i="5" s="1"/>
  <c r="C167" i="5" s="1"/>
  <c r="F167" i="5" s="1"/>
  <c r="D168" i="5" s="1"/>
  <c r="C168" i="5" s="1"/>
  <c r="F168" i="5" s="1"/>
  <c r="D169" i="5" s="1"/>
  <c r="C169" i="5" s="1"/>
  <c r="F169" i="5" s="1"/>
  <c r="D170" i="5" s="1"/>
  <c r="C170" i="5" s="1"/>
  <c r="F170" i="5" s="1"/>
  <c r="D171" i="5" s="1"/>
  <c r="C171" i="5" s="1"/>
  <c r="F171" i="5" s="1"/>
  <c r="D172" i="5" s="1"/>
  <c r="C172" i="5" s="1"/>
  <c r="F172" i="5" s="1"/>
  <c r="D173" i="5" s="1"/>
  <c r="C173" i="5" s="1"/>
  <c r="F173" i="5" s="1"/>
  <c r="D174" i="5" s="1"/>
  <c r="C174" i="5" s="1"/>
  <c r="F174" i="5" s="1"/>
  <c r="D175" i="5" s="1"/>
  <c r="C175" i="5" s="1"/>
  <c r="F175" i="5" s="1"/>
  <c r="D176" i="5" s="1"/>
  <c r="C176" i="5" s="1"/>
  <c r="F176" i="5" s="1"/>
  <c r="D177" i="5" s="1"/>
  <c r="C177" i="5" s="1"/>
  <c r="F177" i="5" s="1"/>
  <c r="D178" i="5" s="1"/>
  <c r="C178" i="5" s="1"/>
  <c r="F178" i="5" s="1"/>
  <c r="D179" i="5" s="1"/>
  <c r="C179" i="5" s="1"/>
  <c r="F179" i="5" s="1"/>
  <c r="D180" i="5" s="1"/>
  <c r="C180" i="5" s="1"/>
  <c r="F180" i="5" s="1"/>
  <c r="D181" i="5" s="1"/>
  <c r="C181" i="5" s="1"/>
  <c r="F181" i="5" s="1"/>
  <c r="D182" i="5" s="1"/>
  <c r="C182" i="5" s="1"/>
  <c r="F182" i="5" s="1"/>
  <c r="D183" i="5" s="1"/>
  <c r="C183" i="5" s="1"/>
  <c r="F183" i="5" s="1"/>
  <c r="D184" i="5" s="1"/>
  <c r="C184" i="5" s="1"/>
  <c r="F184" i="5" s="1"/>
  <c r="D185" i="5" s="1"/>
  <c r="C185" i="5" s="1"/>
  <c r="F185" i="5" s="1"/>
  <c r="D186" i="5" s="1"/>
  <c r="C186" i="5" s="1"/>
  <c r="F186" i="5" s="1"/>
  <c r="D187" i="5" s="1"/>
  <c r="C187" i="5" s="1"/>
  <c r="F187" i="5" s="1"/>
  <c r="D188" i="5" s="1"/>
  <c r="C188" i="5" s="1"/>
  <c r="F188" i="5" s="1"/>
  <c r="D189" i="5" s="1"/>
  <c r="C189" i="5" s="1"/>
  <c r="F189" i="5" s="1"/>
  <c r="D190" i="5" s="1"/>
  <c r="C190" i="5" s="1"/>
  <c r="F190" i="5" s="1"/>
  <c r="D191" i="5" s="1"/>
  <c r="C191" i="5" s="1"/>
  <c r="F191" i="5" s="1"/>
  <c r="D192" i="5" s="1"/>
  <c r="C192" i="5" s="1"/>
  <c r="F192" i="5" s="1"/>
  <c r="D193" i="5" s="1"/>
  <c r="C193" i="5" s="1"/>
  <c r="F193" i="5" s="1"/>
  <c r="D194" i="5" s="1"/>
  <c r="C194" i="5" s="1"/>
  <c r="F194" i="5" s="1"/>
  <c r="D195" i="5" s="1"/>
  <c r="C195" i="5" s="1"/>
  <c r="F195" i="5" s="1"/>
  <c r="D196" i="5" s="1"/>
  <c r="C196" i="5" s="1"/>
  <c r="F196" i="5" s="1"/>
  <c r="D197" i="5" s="1"/>
  <c r="C197" i="5" s="1"/>
  <c r="F197" i="5" s="1"/>
  <c r="D198" i="5" s="1"/>
  <c r="C198" i="5" s="1"/>
  <c r="F198" i="5" s="1"/>
  <c r="D199" i="5" s="1"/>
  <c r="C199" i="5" s="1"/>
  <c r="F199" i="5" s="1"/>
  <c r="D200" i="5" s="1"/>
  <c r="C200" i="5" s="1"/>
  <c r="F200" i="5" s="1"/>
  <c r="D201" i="5" s="1"/>
  <c r="C201" i="5" s="1"/>
  <c r="F201" i="5" s="1"/>
  <c r="D202" i="5" s="1"/>
  <c r="C202" i="5" s="1"/>
  <c r="F202" i="5" s="1"/>
  <c r="D203" i="5" s="1"/>
  <c r="C203" i="5" s="1"/>
  <c r="F203" i="5" s="1"/>
  <c r="D204" i="5" s="1"/>
  <c r="C204" i="5" s="1"/>
  <c r="F204" i="5" s="1"/>
  <c r="D205" i="5" s="1"/>
  <c r="C205" i="5" s="1"/>
  <c r="F205" i="5" s="1"/>
  <c r="D206" i="5" s="1"/>
  <c r="C206" i="5" s="1"/>
  <c r="F206" i="5" s="1"/>
  <c r="D207" i="5" s="1"/>
  <c r="C207" i="5" s="1"/>
  <c r="F207" i="5" s="1"/>
  <c r="D208" i="5" s="1"/>
  <c r="C208" i="5" s="1"/>
  <c r="F208" i="5" s="1"/>
  <c r="D209" i="5" s="1"/>
  <c r="C209" i="5" s="1"/>
  <c r="F209" i="5" s="1"/>
  <c r="D210" i="5" s="1"/>
  <c r="C210" i="5" s="1"/>
  <c r="F210" i="5" s="1"/>
  <c r="D211" i="5" s="1"/>
  <c r="C211" i="5" s="1"/>
  <c r="F211" i="5" s="1"/>
  <c r="D212" i="5" s="1"/>
  <c r="C212" i="5" s="1"/>
  <c r="F212" i="5" s="1"/>
  <c r="D213" i="5" s="1"/>
  <c r="C213" i="5" s="1"/>
  <c r="F213" i="5" s="1"/>
  <c r="D214" i="5" s="1"/>
  <c r="C214" i="5" s="1"/>
  <c r="F214" i="5" s="1"/>
  <c r="D215" i="5" s="1"/>
  <c r="C215" i="5" s="1"/>
  <c r="F215" i="5" s="1"/>
  <c r="D216" i="5" s="1"/>
  <c r="C216" i="5" s="1"/>
  <c r="F216" i="5" s="1"/>
  <c r="D217" i="5" s="1"/>
  <c r="C217" i="5" s="1"/>
  <c r="F217" i="5" s="1"/>
  <c r="D218" i="5" s="1"/>
  <c r="C218" i="5" s="1"/>
  <c r="F218" i="5" s="1"/>
  <c r="D219" i="5" s="1"/>
  <c r="C219" i="5" s="1"/>
  <c r="F219" i="5" s="1"/>
  <c r="D220" i="5" s="1"/>
  <c r="C220" i="5" s="1"/>
  <c r="F220" i="5" s="1"/>
  <c r="D221" i="5" s="1"/>
  <c r="C221" i="5" s="1"/>
  <c r="F221" i="5" s="1"/>
  <c r="D222" i="5" s="1"/>
  <c r="C222" i="5" s="1"/>
  <c r="F222" i="5" s="1"/>
  <c r="D223" i="5" s="1"/>
  <c r="C223" i="5" s="1"/>
  <c r="F223" i="5" s="1"/>
  <c r="D224" i="5" s="1"/>
  <c r="C224" i="5" s="1"/>
  <c r="F224" i="5" s="1"/>
  <c r="D225" i="5" s="1"/>
  <c r="C225" i="5" s="1"/>
  <c r="F225" i="5" s="1"/>
  <c r="D226" i="5" s="1"/>
  <c r="C226" i="5" s="1"/>
  <c r="F226" i="5" s="1"/>
  <c r="D227" i="5" s="1"/>
  <c r="C227" i="5" s="1"/>
  <c r="F227" i="5" s="1"/>
  <c r="D228" i="5" s="1"/>
  <c r="C228" i="5" s="1"/>
  <c r="F228" i="5" s="1"/>
  <c r="D229" i="5" s="1"/>
  <c r="C229" i="5" s="1"/>
  <c r="F229" i="5" s="1"/>
  <c r="D230" i="5" s="1"/>
  <c r="C230" i="5" s="1"/>
  <c r="F230" i="5" s="1"/>
  <c r="D231" i="5" s="1"/>
  <c r="C231" i="5" s="1"/>
  <c r="F231" i="5" s="1"/>
  <c r="D232" i="5" s="1"/>
  <c r="C232" i="5" s="1"/>
  <c r="F232" i="5" s="1"/>
  <c r="D233" i="5" s="1"/>
  <c r="C233" i="5" s="1"/>
  <c r="F233" i="5" s="1"/>
  <c r="D234" i="5" s="1"/>
  <c r="C234" i="5" s="1"/>
  <c r="F234" i="5" s="1"/>
  <c r="D235" i="5" s="1"/>
  <c r="C235" i="5" s="1"/>
  <c r="F235" i="5" s="1"/>
  <c r="D236" i="5" s="1"/>
  <c r="C236" i="5" s="1"/>
  <c r="F236" i="5" s="1"/>
  <c r="D237" i="5" s="1"/>
  <c r="C237" i="5" s="1"/>
  <c r="F237" i="5" s="1"/>
  <c r="D238" i="5" s="1"/>
  <c r="C238" i="5" s="1"/>
  <c r="F238" i="5" s="1"/>
  <c r="D239" i="5" s="1"/>
  <c r="C239" i="5" s="1"/>
  <c r="F239" i="5" s="1"/>
  <c r="D240" i="5" s="1"/>
  <c r="C240" i="5" s="1"/>
  <c r="F240" i="5" s="1"/>
  <c r="D241" i="5" s="1"/>
  <c r="C241" i="5" s="1"/>
  <c r="F241" i="5" s="1"/>
  <c r="D242" i="5" s="1"/>
  <c r="C242" i="5" s="1"/>
  <c r="F242" i="5" s="1"/>
  <c r="D243" i="5" s="1"/>
  <c r="C243" i="5" s="1"/>
  <c r="F243" i="5" s="1"/>
  <c r="D244" i="5" s="1"/>
  <c r="C244" i="5" s="1"/>
  <c r="F244" i="5" s="1"/>
  <c r="D245" i="5" s="1"/>
  <c r="C245" i="5" s="1"/>
  <c r="F245" i="5" s="1"/>
  <c r="D246" i="5" s="1"/>
  <c r="C246" i="5" s="1"/>
  <c r="F246" i="5" s="1"/>
  <c r="D247" i="5" s="1"/>
  <c r="C247" i="5" s="1"/>
  <c r="F247" i="5" s="1"/>
  <c r="D248" i="5" s="1"/>
  <c r="C248" i="5" s="1"/>
  <c r="F248" i="5" s="1"/>
  <c r="D249" i="5" s="1"/>
  <c r="C249" i="5" s="1"/>
  <c r="F249" i="5" s="1"/>
  <c r="D250" i="5" s="1"/>
  <c r="C250" i="5" s="1"/>
  <c r="F250" i="5" s="1"/>
  <c r="D251" i="5" s="1"/>
  <c r="C251" i="5" s="1"/>
  <c r="F251" i="5" s="1"/>
  <c r="D252" i="5" s="1"/>
  <c r="C252" i="5" s="1"/>
  <c r="F252" i="5" s="1"/>
  <c r="D253" i="5" s="1"/>
  <c r="C253" i="5" s="1"/>
  <c r="F253" i="5" s="1"/>
  <c r="D254" i="5" s="1"/>
  <c r="C254" i="5" s="1"/>
  <c r="F254" i="5" s="1"/>
  <c r="D255" i="5" s="1"/>
  <c r="C255" i="5" s="1"/>
  <c r="F255" i="5" s="1"/>
  <c r="D256" i="5" s="1"/>
  <c r="C256" i="5" s="1"/>
  <c r="F256" i="5" s="1"/>
  <c r="D257" i="5" s="1"/>
  <c r="C257" i="5" s="1"/>
  <c r="F257" i="5" s="1"/>
  <c r="D258" i="5" s="1"/>
  <c r="C258" i="5" s="1"/>
  <c r="F258" i="5" s="1"/>
  <c r="D259" i="5" s="1"/>
  <c r="C259" i="5" s="1"/>
  <c r="F259" i="5" s="1"/>
  <c r="D260" i="5" s="1"/>
  <c r="C260" i="5" s="1"/>
  <c r="F260" i="5" s="1"/>
  <c r="D261" i="5" s="1"/>
  <c r="C261" i="5" s="1"/>
  <c r="F261" i="5" s="1"/>
  <c r="D262" i="5" s="1"/>
  <c r="C262" i="5" s="1"/>
  <c r="F262" i="5" s="1"/>
  <c r="D263" i="5" s="1"/>
  <c r="C263" i="5" s="1"/>
  <c r="F263" i="5" s="1"/>
  <c r="D264" i="5" s="1"/>
  <c r="C264" i="5" s="1"/>
  <c r="F264" i="5" s="1"/>
  <c r="D265" i="5" s="1"/>
  <c r="C265" i="5" s="1"/>
  <c r="F265" i="5" s="1"/>
  <c r="D266" i="5" s="1"/>
  <c r="C266" i="5" s="1"/>
  <c r="F266" i="5" s="1"/>
  <c r="D267" i="5" s="1"/>
  <c r="C267" i="5" s="1"/>
  <c r="F267" i="5" s="1"/>
  <c r="D268" i="5" s="1"/>
  <c r="C268" i="5" s="1"/>
  <c r="F268" i="5" s="1"/>
  <c r="D269" i="5" s="1"/>
  <c r="C269" i="5" s="1"/>
  <c r="F269" i="5" s="1"/>
  <c r="D270" i="5" s="1"/>
  <c r="C270" i="5" s="1"/>
  <c r="F270" i="5" s="1"/>
  <c r="D271" i="5" s="1"/>
  <c r="C271" i="5" s="1"/>
  <c r="F271" i="5" s="1"/>
  <c r="D272" i="5" s="1"/>
  <c r="C272" i="5" s="1"/>
  <c r="F272" i="5" s="1"/>
  <c r="D273" i="5" s="1"/>
  <c r="C273" i="5" s="1"/>
  <c r="F273" i="5" s="1"/>
  <c r="D274" i="5" s="1"/>
  <c r="C274" i="5" s="1"/>
  <c r="F274" i="5" s="1"/>
  <c r="D275" i="5" s="1"/>
  <c r="C275" i="5" s="1"/>
  <c r="F275" i="5" s="1"/>
  <c r="D276" i="5" s="1"/>
  <c r="C276" i="5" s="1"/>
  <c r="F276" i="5" s="1"/>
  <c r="D277" i="5" s="1"/>
  <c r="C277" i="5" s="1"/>
  <c r="F277" i="5" s="1"/>
  <c r="D278" i="5" s="1"/>
  <c r="C278" i="5" s="1"/>
  <c r="F278" i="5" s="1"/>
  <c r="D279" i="5" s="1"/>
  <c r="C279" i="5" s="1"/>
  <c r="F279" i="5" s="1"/>
  <c r="D280" i="5" s="1"/>
  <c r="C280" i="5" s="1"/>
  <c r="F280" i="5" s="1"/>
  <c r="D281" i="5" s="1"/>
  <c r="C281" i="5" s="1"/>
  <c r="F281" i="5" s="1"/>
  <c r="D282" i="5" s="1"/>
  <c r="C282" i="5" s="1"/>
  <c r="F282" i="5" s="1"/>
  <c r="D283" i="5" s="1"/>
  <c r="C283" i="5" s="1"/>
  <c r="F283" i="5" s="1"/>
  <c r="D284" i="5" s="1"/>
  <c r="C284" i="5" s="1"/>
  <c r="F284" i="5" s="1"/>
  <c r="D285" i="5" s="1"/>
  <c r="C285" i="5" s="1"/>
  <c r="F285" i="5" s="1"/>
  <c r="D286" i="5" s="1"/>
  <c r="C286" i="5" s="1"/>
  <c r="F286" i="5" s="1"/>
  <c r="D287" i="5" s="1"/>
  <c r="C287" i="5" s="1"/>
  <c r="F287" i="5" s="1"/>
  <c r="D288" i="5" s="1"/>
  <c r="C288" i="5" s="1"/>
  <c r="F288" i="5" s="1"/>
  <c r="D289" i="5" s="1"/>
  <c r="C289" i="5" s="1"/>
  <c r="F289" i="5" s="1"/>
  <c r="D290" i="5" s="1"/>
  <c r="C290" i="5" s="1"/>
  <c r="F290" i="5" s="1"/>
  <c r="D291" i="5" s="1"/>
  <c r="C291" i="5" s="1"/>
  <c r="F291" i="5" s="1"/>
  <c r="D292" i="5" s="1"/>
  <c r="C292" i="5" s="1"/>
  <c r="F292" i="5" s="1"/>
  <c r="D293" i="5" s="1"/>
  <c r="C293" i="5" s="1"/>
  <c r="F293" i="5" s="1"/>
  <c r="D294" i="5" s="1"/>
  <c r="C294" i="5" s="1"/>
  <c r="F294" i="5" s="1"/>
  <c r="D295" i="5" s="1"/>
  <c r="C295" i="5" s="1"/>
  <c r="F295" i="5" s="1"/>
  <c r="D296" i="5" s="1"/>
  <c r="C296" i="5" s="1"/>
  <c r="F296" i="5" s="1"/>
  <c r="D297" i="5" s="1"/>
  <c r="C297" i="5" s="1"/>
  <c r="F297" i="5" s="1"/>
  <c r="D298" i="5" s="1"/>
  <c r="C298" i="5" s="1"/>
  <c r="F298" i="5" s="1"/>
  <c r="D299" i="5" s="1"/>
  <c r="C299" i="5" s="1"/>
  <c r="F299" i="5" s="1"/>
  <c r="D300" i="5" s="1"/>
  <c r="C300" i="5" s="1"/>
  <c r="F300" i="5" s="1"/>
  <c r="D301" i="5" s="1"/>
  <c r="C301" i="5" s="1"/>
  <c r="F301" i="5" s="1"/>
  <c r="D302" i="5" s="1"/>
  <c r="C302" i="5" s="1"/>
  <c r="F302" i="5" s="1"/>
  <c r="D303" i="5" s="1"/>
  <c r="C303" i="5" s="1"/>
  <c r="F303" i="5" s="1"/>
  <c r="D304" i="5" s="1"/>
  <c r="C304" i="5" s="1"/>
  <c r="F304" i="5" s="1"/>
  <c r="D305" i="5" s="1"/>
  <c r="C305" i="5" s="1"/>
  <c r="F305" i="5" s="1"/>
  <c r="D306" i="5" s="1"/>
  <c r="C306" i="5" s="1"/>
  <c r="F306" i="5" s="1"/>
  <c r="D307" i="5" s="1"/>
  <c r="C307" i="5" s="1"/>
  <c r="F307" i="5" s="1"/>
  <c r="D308" i="5" s="1"/>
  <c r="C308" i="5" s="1"/>
  <c r="F308" i="5" s="1"/>
  <c r="D309" i="5" s="1"/>
  <c r="C309" i="5" s="1"/>
  <c r="F309" i="5" s="1"/>
  <c r="D310" i="5" s="1"/>
  <c r="C310" i="5" s="1"/>
  <c r="F310" i="5" s="1"/>
  <c r="D311" i="5" s="1"/>
  <c r="C311" i="5" s="1"/>
  <c r="F311" i="5" s="1"/>
  <c r="D312" i="5" s="1"/>
  <c r="C312" i="5" s="1"/>
  <c r="F312" i="5" s="1"/>
  <c r="D313" i="5" s="1"/>
  <c r="C313" i="5" s="1"/>
  <c r="F313" i="5" s="1"/>
  <c r="D314" i="5" s="1"/>
  <c r="C314" i="5" s="1"/>
  <c r="F314" i="5" s="1"/>
  <c r="D315" i="5" s="1"/>
  <c r="C315" i="5" s="1"/>
  <c r="F315" i="5" s="1"/>
  <c r="D316" i="5" s="1"/>
  <c r="C316" i="5" s="1"/>
  <c r="F316" i="5" s="1"/>
  <c r="D317" i="5" s="1"/>
  <c r="C317" i="5" s="1"/>
  <c r="F317" i="5" s="1"/>
  <c r="D318" i="5" s="1"/>
  <c r="C318" i="5" s="1"/>
  <c r="F318" i="5" s="1"/>
  <c r="D319" i="5" s="1"/>
  <c r="C319" i="5" s="1"/>
  <c r="F319" i="5" s="1"/>
  <c r="D320" i="5" s="1"/>
  <c r="C320" i="5" s="1"/>
  <c r="F320" i="5" s="1"/>
  <c r="D321" i="5" s="1"/>
  <c r="C321" i="5" s="1"/>
  <c r="F321" i="5" s="1"/>
  <c r="D322" i="5" s="1"/>
  <c r="C322" i="5" s="1"/>
  <c r="F322" i="5" s="1"/>
  <c r="D323" i="5" s="1"/>
  <c r="C323" i="5" s="1"/>
  <c r="F323" i="5" s="1"/>
  <c r="D324" i="5" s="1"/>
  <c r="C324" i="5" s="1"/>
  <c r="F324" i="5" s="1"/>
  <c r="D325" i="5" s="1"/>
  <c r="C325" i="5" s="1"/>
  <c r="F325" i="5" s="1"/>
  <c r="D326" i="5" s="1"/>
  <c r="C326" i="5" s="1"/>
  <c r="F326" i="5" s="1"/>
  <c r="D327" i="5" s="1"/>
  <c r="C327" i="5" s="1"/>
  <c r="F327" i="5" s="1"/>
  <c r="D328" i="5" s="1"/>
  <c r="C328" i="5" s="1"/>
  <c r="F328" i="5" s="1"/>
  <c r="D329" i="5" s="1"/>
  <c r="C329" i="5" s="1"/>
  <c r="F329" i="5" s="1"/>
  <c r="D330" i="5" s="1"/>
  <c r="C330" i="5" s="1"/>
  <c r="F330" i="5" s="1"/>
  <c r="D331" i="5" s="1"/>
  <c r="C331" i="5" s="1"/>
  <c r="F331" i="5" s="1"/>
  <c r="D332" i="5" s="1"/>
  <c r="C332" i="5" s="1"/>
  <c r="F332" i="5" s="1"/>
  <c r="D333" i="5" s="1"/>
  <c r="C333" i="5" s="1"/>
  <c r="F333" i="5" s="1"/>
  <c r="D334" i="5" s="1"/>
  <c r="C334" i="5" s="1"/>
  <c r="F334" i="5" s="1"/>
  <c r="D335" i="5" s="1"/>
  <c r="C335" i="5" s="1"/>
  <c r="F335" i="5" s="1"/>
  <c r="D336" i="5" s="1"/>
  <c r="C336" i="5" s="1"/>
  <c r="F336" i="5" s="1"/>
  <c r="D337" i="5" s="1"/>
  <c r="C337" i="5" s="1"/>
  <c r="F337" i="5" s="1"/>
  <c r="D338" i="5" s="1"/>
  <c r="C338" i="5" s="1"/>
  <c r="F338" i="5" s="1"/>
  <c r="D339" i="5" s="1"/>
  <c r="C339" i="5" s="1"/>
  <c r="F339" i="5" s="1"/>
  <c r="D340" i="5" s="1"/>
  <c r="C340" i="5" s="1"/>
  <c r="F340" i="5" s="1"/>
  <c r="D341" i="5" s="1"/>
  <c r="C341" i="5" s="1"/>
  <c r="F341" i="5" s="1"/>
  <c r="D342" i="5" s="1"/>
  <c r="C342" i="5" s="1"/>
  <c r="F342" i="5" s="1"/>
  <c r="D343" i="5" s="1"/>
  <c r="C343" i="5" s="1"/>
  <c r="F343" i="5" s="1"/>
  <c r="D344" i="5" s="1"/>
  <c r="C344" i="5" s="1"/>
  <c r="F344" i="5" s="1"/>
  <c r="D345" i="5" s="1"/>
  <c r="C345" i="5" s="1"/>
  <c r="F345" i="5" s="1"/>
  <c r="D346" i="5" s="1"/>
  <c r="C346" i="5" s="1"/>
  <c r="F346" i="5" s="1"/>
  <c r="D347" i="5" s="1"/>
  <c r="C347" i="5" s="1"/>
  <c r="F347" i="5" s="1"/>
  <c r="D348" i="5" s="1"/>
  <c r="C348" i="5" s="1"/>
  <c r="F348" i="5" s="1"/>
  <c r="D349" i="5" s="1"/>
  <c r="C349" i="5" s="1"/>
  <c r="F349" i="5" s="1"/>
  <c r="D350" i="5" s="1"/>
  <c r="C350" i="5" s="1"/>
  <c r="F350" i="5" s="1"/>
  <c r="D351" i="5" s="1"/>
  <c r="C351" i="5" s="1"/>
  <c r="F351" i="5" s="1"/>
  <c r="D352" i="5" s="1"/>
  <c r="C352" i="5" s="1"/>
  <c r="F352" i="5" s="1"/>
  <c r="D353" i="5" s="1"/>
  <c r="C353" i="5" s="1"/>
  <c r="F353" i="5" s="1"/>
  <c r="D354" i="5" s="1"/>
  <c r="C354" i="5" s="1"/>
  <c r="F354" i="5" s="1"/>
  <c r="D355" i="5" s="1"/>
  <c r="C355" i="5" s="1"/>
  <c r="F355" i="5" s="1"/>
  <c r="D356" i="5" s="1"/>
  <c r="C356" i="5" s="1"/>
  <c r="F356" i="5" s="1"/>
  <c r="D357" i="5" s="1"/>
  <c r="C357" i="5" s="1"/>
  <c r="F357" i="5" s="1"/>
  <c r="D358" i="5" s="1"/>
  <c r="C358" i="5" s="1"/>
  <c r="F358" i="5" s="1"/>
  <c r="D359" i="5" s="1"/>
  <c r="C359" i="5" s="1"/>
  <c r="F359" i="5" s="1"/>
  <c r="D360" i="5" s="1"/>
  <c r="C360" i="5" s="1"/>
  <c r="F360" i="5" s="1"/>
  <c r="D361" i="5" s="1"/>
  <c r="C361" i="5" s="1"/>
  <c r="F361" i="5" s="1"/>
  <c r="D362" i="5" s="1"/>
  <c r="C362" i="5" s="1"/>
  <c r="F362" i="5" s="1"/>
  <c r="D363" i="5" s="1"/>
  <c r="C363" i="5" s="1"/>
  <c r="F363" i="5" s="1"/>
  <c r="D364" i="5" s="1"/>
  <c r="C364" i="5" s="1"/>
  <c r="F364" i="5" s="1"/>
  <c r="D365" i="5" s="1"/>
  <c r="C365" i="5" s="1"/>
  <c r="F365" i="5" s="1"/>
  <c r="D366" i="5" s="1"/>
  <c r="C366" i="5" s="1"/>
  <c r="F366" i="5" s="1"/>
  <c r="D367" i="5" s="1"/>
  <c r="C367" i="5" s="1"/>
  <c r="F367" i="5" s="1"/>
  <c r="D368" i="5" s="1"/>
  <c r="C368" i="5" s="1"/>
  <c r="F368" i="5" s="1"/>
  <c r="D369" i="5" s="1"/>
  <c r="C369" i="5" s="1"/>
  <c r="F369" i="5" s="1"/>
  <c r="D370" i="5" s="1"/>
  <c r="C370" i="5" s="1"/>
  <c r="F370" i="5" s="1"/>
  <c r="B238" i="5"/>
  <c r="B239" i="5" l="1"/>
  <c r="B240" i="5" l="1"/>
  <c r="B241" i="5" l="1"/>
  <c r="B242" i="5" l="1"/>
  <c r="B243" i="5" l="1"/>
  <c r="B244" i="5" l="1"/>
  <c r="B245" i="5" l="1"/>
  <c r="B246" i="5" l="1"/>
  <c r="B247" i="5" l="1"/>
  <c r="B248" i="5" l="1"/>
  <c r="B249" i="5" l="1"/>
  <c r="B250" i="5" l="1"/>
  <c r="B251" i="5" l="1"/>
  <c r="B252" i="5" l="1"/>
  <c r="B253" i="5" l="1"/>
  <c r="B254" i="5" l="1"/>
  <c r="B255" i="5" l="1"/>
  <c r="B256" i="5" l="1"/>
  <c r="B257" i="5" l="1"/>
  <c r="B258" i="5" l="1"/>
  <c r="B259" i="5" l="1"/>
  <c r="B260" i="5" l="1"/>
  <c r="B261" i="5" l="1"/>
  <c r="B262" i="5" l="1"/>
  <c r="B263" i="5" l="1"/>
  <c r="B264" i="5" l="1"/>
  <c r="B265" i="5" l="1"/>
  <c r="B266" i="5" l="1"/>
  <c r="B267" i="5" l="1"/>
  <c r="B268" i="5" l="1"/>
  <c r="B269" i="5" l="1"/>
  <c r="B270" i="5" l="1"/>
  <c r="B271" i="5" l="1"/>
  <c r="B272" i="5" l="1"/>
  <c r="B273" i="5" l="1"/>
  <c r="B274" i="5" l="1"/>
  <c r="B275" i="5" l="1"/>
  <c r="B276" i="5" l="1"/>
  <c r="B277" i="5" l="1"/>
  <c r="B278" i="5" l="1"/>
  <c r="B279" i="5" l="1"/>
  <c r="B280" i="5" l="1"/>
  <c r="B281" i="5" l="1"/>
  <c r="B282" i="5" l="1"/>
  <c r="B283" i="5" l="1"/>
  <c r="B284" i="5" l="1"/>
  <c r="B285" i="5" l="1"/>
  <c r="B286" i="5" l="1"/>
  <c r="B287" i="5" l="1"/>
  <c r="B288" i="5" l="1"/>
  <c r="B289" i="5" l="1"/>
  <c r="B290" i="5" l="1"/>
  <c r="B291" i="5" l="1"/>
  <c r="B292" i="5" l="1"/>
  <c r="B293" i="5" l="1"/>
  <c r="B294" i="5" l="1"/>
  <c r="B295" i="5" l="1"/>
  <c r="B296" i="5" l="1"/>
  <c r="B297" i="5" l="1"/>
  <c r="B298" i="5" l="1"/>
  <c r="B299" i="5" l="1"/>
  <c r="B300" i="5" l="1"/>
  <c r="B301" i="5" l="1"/>
  <c r="B302" i="5" l="1"/>
  <c r="B303" i="5" l="1"/>
  <c r="B304" i="5" l="1"/>
  <c r="B305" i="5" l="1"/>
  <c r="B306" i="5" l="1"/>
  <c r="B307" i="5" l="1"/>
  <c r="B308" i="5" l="1"/>
  <c r="B309" i="5" l="1"/>
  <c r="B310" i="5" l="1"/>
  <c r="B311" i="5" l="1"/>
  <c r="B312" i="5" l="1"/>
  <c r="B313" i="5" l="1"/>
  <c r="B314" i="5" l="1"/>
  <c r="B315" i="5" l="1"/>
  <c r="B316" i="5" l="1"/>
  <c r="B317" i="5" l="1"/>
  <c r="B318" i="5" l="1"/>
  <c r="B319" i="5" l="1"/>
  <c r="B320" i="5" l="1"/>
  <c r="B321" i="5" l="1"/>
  <c r="B322" i="5" l="1"/>
  <c r="B323" i="5" l="1"/>
  <c r="B324" i="5" l="1"/>
  <c r="B325" i="5" l="1"/>
  <c r="B326" i="5" l="1"/>
  <c r="B327" i="5" l="1"/>
  <c r="B328" i="5" l="1"/>
  <c r="B329" i="5" l="1"/>
  <c r="B330" i="5" l="1"/>
  <c r="B331" i="5" l="1"/>
  <c r="B332" i="5" l="1"/>
  <c r="B333" i="5" l="1"/>
  <c r="B334" i="5" l="1"/>
  <c r="B335" i="5" l="1"/>
  <c r="B336" i="5" l="1"/>
  <c r="B337" i="5" l="1"/>
  <c r="B338" i="5" l="1"/>
  <c r="B339" i="5" l="1"/>
  <c r="B340" i="5" l="1"/>
  <c r="B341" i="5" l="1"/>
  <c r="B342" i="5" l="1"/>
  <c r="B343" i="5" l="1"/>
  <c r="B344" i="5" l="1"/>
  <c r="B345" i="5" l="1"/>
  <c r="B346" i="5" l="1"/>
  <c r="B347" i="5" l="1"/>
  <c r="B348" i="5" l="1"/>
  <c r="B349" i="5" l="1"/>
  <c r="B350" i="5" l="1"/>
  <c r="B351" i="5" l="1"/>
  <c r="B352" i="5" l="1"/>
  <c r="B353" i="5" l="1"/>
  <c r="B354" i="5" l="1"/>
  <c r="B355" i="5" l="1"/>
  <c r="B356" i="5" l="1"/>
  <c r="B357" i="5" l="1"/>
  <c r="B358" i="5" l="1"/>
  <c r="B359" i="5" l="1"/>
  <c r="B360" i="5" l="1"/>
  <c r="B361" i="5" l="1"/>
  <c r="B362" i="5" l="1"/>
  <c r="B363" i="5" l="1"/>
  <c r="B364" i="5" l="1"/>
  <c r="B365" i="5" l="1"/>
  <c r="B366" i="5" l="1"/>
  <c r="B367" i="5" l="1"/>
  <c r="B368" i="5" l="1"/>
  <c r="B369" i="5" l="1"/>
  <c r="B370" i="5" l="1"/>
  <c r="C7" i="5" l="1"/>
  <c r="D7" i="5" l="1"/>
</calcChain>
</file>

<file path=xl/comments1.xml><?xml version="1.0" encoding="utf-8"?>
<comments xmlns="http://schemas.openxmlformats.org/spreadsheetml/2006/main">
  <authors>
    <author>The Martinez Family</author>
  </authors>
  <commentList>
    <comment ref="H4" authorId="0" shapeId="0">
      <text>
        <r>
          <rPr>
            <sz val="8"/>
            <color indexed="81"/>
            <rFont val="Tahoma"/>
            <family val="2"/>
          </rPr>
          <t>0 = End of period
1=Beginning of period</t>
        </r>
      </text>
    </comment>
  </commentList>
</comments>
</file>

<file path=xl/sharedStrings.xml><?xml version="1.0" encoding="utf-8"?>
<sst xmlns="http://schemas.openxmlformats.org/spreadsheetml/2006/main" count="197" uniqueCount="175">
  <si>
    <t>Income</t>
  </si>
  <si>
    <t>Interest Rate for 30 Year Fully Amortized Loan</t>
  </si>
  <si>
    <t>How Much of a Loan Can You Afford?</t>
  </si>
  <si>
    <t>Loan</t>
  </si>
  <si>
    <t>Amount</t>
  </si>
  <si>
    <t>Credit Guideline for Brokers</t>
  </si>
  <si>
    <t>Credit</t>
  </si>
  <si>
    <t>Description</t>
  </si>
  <si>
    <t>720+</t>
  </si>
  <si>
    <t>AAA</t>
  </si>
  <si>
    <t>Superior Credit</t>
  </si>
  <si>
    <t>700 - 719</t>
  </si>
  <si>
    <t>AA</t>
  </si>
  <si>
    <t>Excellent Credit</t>
  </si>
  <si>
    <t>680 - 699</t>
  </si>
  <si>
    <t>A</t>
  </si>
  <si>
    <t>Very Good Credit</t>
  </si>
  <si>
    <t>660 - 679</t>
  </si>
  <si>
    <t>A-</t>
  </si>
  <si>
    <t>Good Credit</t>
  </si>
  <si>
    <t>640 - 659</t>
  </si>
  <si>
    <t>B+</t>
  </si>
  <si>
    <t>Fine Credit</t>
  </si>
  <si>
    <t>620 - 639</t>
  </si>
  <si>
    <t>B</t>
  </si>
  <si>
    <t>Fair Credit</t>
  </si>
  <si>
    <t>600 - 619</t>
  </si>
  <si>
    <t>C</t>
  </si>
  <si>
    <t>Less Than Fair Credit</t>
  </si>
  <si>
    <t>580 - 599</t>
  </si>
  <si>
    <t>C-</t>
  </si>
  <si>
    <t>Inferior Credit</t>
  </si>
  <si>
    <t>520 - 579</t>
  </si>
  <si>
    <t>D</t>
  </si>
  <si>
    <t>Bad Credit</t>
  </si>
  <si>
    <t>519-</t>
  </si>
  <si>
    <t>F</t>
  </si>
  <si>
    <t>Extremely Bad Credit</t>
  </si>
  <si>
    <r>
      <t xml:space="preserve">FICO </t>
    </r>
    <r>
      <rPr>
        <b/>
        <sz val="8"/>
        <rFont val="Arial"/>
        <family val="2"/>
      </rPr>
      <t>(Middle Score)</t>
    </r>
  </si>
  <si>
    <t>Monthly Mortgage Payment for a 30 Year Fully Amortized Loan</t>
  </si>
  <si>
    <t>Rate</t>
  </si>
  <si>
    <t>Interest</t>
  </si>
  <si>
    <t>Number of Years</t>
  </si>
  <si>
    <t>Annual Gr</t>
  </si>
  <si>
    <t>PITI</t>
  </si>
  <si>
    <t>Max Mthly</t>
  </si>
  <si>
    <t>Loan Amount</t>
  </si>
  <si>
    <t>Interest Rate</t>
  </si>
  <si>
    <t>Principal</t>
  </si>
  <si>
    <t>Payment</t>
  </si>
  <si>
    <t>Balance</t>
  </si>
  <si>
    <t>DCR</t>
  </si>
  <si>
    <t>OPM Rates</t>
  </si>
  <si>
    <t>&lt; Interest Rate</t>
  </si>
  <si>
    <t>Loan Constant</t>
  </si>
  <si>
    <t>&lt; Loan Constant</t>
  </si>
  <si>
    <t>Loan Length</t>
  </si>
  <si>
    <t>&gt; Loan Length</t>
  </si>
  <si>
    <t>Type</t>
  </si>
  <si>
    <t>Initial Investment</t>
  </si>
  <si>
    <t>&lt;=Assumes initial investment made at beginning of period, so this value is not discounted</t>
  </si>
  <si>
    <t>Period</t>
  </si>
  <si>
    <t>Number</t>
  </si>
  <si>
    <t>Daily</t>
  </si>
  <si>
    <t>Weekly</t>
  </si>
  <si>
    <t>Monthly</t>
  </si>
  <si>
    <t>Quarterly</t>
  </si>
  <si>
    <t>Semi</t>
  </si>
  <si>
    <t>Annual</t>
  </si>
  <si>
    <t>= GEI w/Tax Savings</t>
  </si>
  <si>
    <t>+ Tax Savings</t>
  </si>
  <si>
    <t>This is an awesome opportunity 3BR 2.5 bath, loft.  Great area, price and community!!! Home needs new cabinents and countertops as well.
*Information is not guaranteed and investors should do their own research, get professional advice and conduct due diligence prior to investing.</t>
  </si>
  <si>
    <t>=Gross Equity Income</t>
  </si>
  <si>
    <t>Comments</t>
  </si>
  <si>
    <t>+ First-Year Appreciation</t>
  </si>
  <si>
    <t>Maintenance Percentage</t>
  </si>
  <si>
    <t>+ Principal Reduction</t>
  </si>
  <si>
    <t>Management Fee</t>
  </si>
  <si>
    <t>= Cash Flow</t>
  </si>
  <si>
    <t>Vacancy Rate</t>
  </si>
  <si>
    <t>- Mortgage Payments</t>
  </si>
  <si>
    <t>Real Estate Appreciation Rate</t>
  </si>
  <si>
    <t>Net Operating Income</t>
  </si>
  <si>
    <t>Assumptions</t>
  </si>
  <si>
    <t>Net Performance</t>
  </si>
  <si>
    <t>Total ROI with Tax Savings</t>
  </si>
  <si>
    <t>Operating Expenses</t>
  </si>
  <si>
    <t>Total Return on Investment</t>
  </si>
  <si>
    <t xml:space="preserve">Other </t>
  </si>
  <si>
    <t>Cash on Cash Return</t>
  </si>
  <si>
    <t>Maintenance</t>
  </si>
  <si>
    <t>Cap Rate</t>
  </si>
  <si>
    <t>Association Fees</t>
  </si>
  <si>
    <t>Monthly Gross Rent Multiplier</t>
  </si>
  <si>
    <t>Leasing / Advertising Fees</t>
  </si>
  <si>
    <t>Annual Gross Rent Multiplier</t>
  </si>
  <si>
    <t>Management Fees</t>
  </si>
  <si>
    <t>Debt Coverage Ratio</t>
  </si>
  <si>
    <t>Insurance</t>
  </si>
  <si>
    <t>Financial Indicators</t>
  </si>
  <si>
    <t>Property Taxes</t>
  </si>
  <si>
    <t>Monthly PMI</t>
  </si>
  <si>
    <t>Expenses</t>
  </si>
  <si>
    <t>Operating Income</t>
  </si>
  <si>
    <t>Term</t>
  </si>
  <si>
    <t>Vacancy Losses</t>
  </si>
  <si>
    <t>Amort Fixed</t>
  </si>
  <si>
    <t>Loan Type</t>
  </si>
  <si>
    <t>Gross Rent</t>
  </si>
  <si>
    <t>Monthly Payment</t>
  </si>
  <si>
    <t>Monthly Rent per Square Foot</t>
  </si>
  <si>
    <t>Loan-to-Value Ratio</t>
  </si>
  <si>
    <t>Cost per Square Foot</t>
  </si>
  <si>
    <t>Second</t>
  </si>
  <si>
    <t>First</t>
  </si>
  <si>
    <t>Mortgage Info</t>
  </si>
  <si>
    <t>Initial Cash Invested</t>
  </si>
  <si>
    <t>Other Closing Costs and Fixup</t>
  </si>
  <si>
    <t>Depreciable Closing Costs</t>
  </si>
  <si>
    <t>Loan Origination Fees</t>
  </si>
  <si>
    <t>Downpayment</t>
  </si>
  <si>
    <t>Purchase Price</t>
  </si>
  <si>
    <t>Initial Market Value</t>
  </si>
  <si>
    <t>Square Feet</t>
  </si>
  <si>
    <t>PICTURE</t>
  </si>
  <si>
    <t>REO, 2005 3 BR 2.5 BA Loft</t>
  </si>
  <si>
    <t>Indianapolis, IN 46239</t>
  </si>
  <si>
    <t>REO Single Family Built in 2005</t>
  </si>
  <si>
    <t xml:space="preserve">Date </t>
  </si>
  <si>
    <t>1 Year Performance Projection</t>
  </si>
  <si>
    <t>N = Number of Periods</t>
  </si>
  <si>
    <r>
      <t xml:space="preserve">PV = Present Value </t>
    </r>
    <r>
      <rPr>
        <b/>
        <sz val="10"/>
        <color indexed="10"/>
        <rFont val="Arial"/>
        <family val="2"/>
      </rPr>
      <t>(neg)</t>
    </r>
  </si>
  <si>
    <t>PMT = Payment</t>
  </si>
  <si>
    <t>FV = Future Value</t>
  </si>
  <si>
    <t>Totals</t>
  </si>
  <si>
    <t>PdDescr</t>
  </si>
  <si>
    <t>NPV</t>
  </si>
  <si>
    <t>Total</t>
  </si>
  <si>
    <t>If total &gt;0 means the discounted value of the future cash flows is greater than our original cash investment.  This is good.</t>
  </si>
  <si>
    <t>I = Annual Rate (e.g. 15%)</t>
  </si>
  <si>
    <t>Instructions:</t>
  </si>
  <si>
    <r>
      <t>Initial Investment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(neg)</t>
    </r>
  </si>
  <si>
    <t>Annual Discount Rate</t>
  </si>
  <si>
    <t>Payments are positive, Present Value is negative</t>
  </si>
  <si>
    <t>The Five Annuity Functions from Perspective of Lender</t>
  </si>
  <si>
    <t>&lt;== Enter per dollar amount</t>
  </si>
  <si>
    <t>N</t>
  </si>
  <si>
    <t>I/Yr</t>
  </si>
  <si>
    <t>PV</t>
  </si>
  <si>
    <t>PMT</t>
  </si>
  <si>
    <t>FV</t>
  </si>
  <si>
    <t>P/Yr</t>
  </si>
  <si>
    <r>
      <t>If total = 0 means Annual Discount Rate =</t>
    </r>
    <r>
      <rPr>
        <u/>
        <sz val="10"/>
        <rFont val="Arial"/>
        <family val="2"/>
      </rPr>
      <t xml:space="preserve"> IRR</t>
    </r>
  </si>
  <si>
    <t>enter as &gt; 0</t>
  </si>
  <si>
    <t>Debt to Income Ratio</t>
  </si>
  <si>
    <t>Payment to Income Ratio</t>
  </si>
  <si>
    <t>= Ratio of mortgage payment (PITI) to gross income (salary, not net pay)</t>
  </si>
  <si>
    <t>= Ratio of total monthly personal debt excluding mortgage to gross income (salary, not net pay)</t>
  </si>
  <si>
    <r>
      <t xml:space="preserve">= </t>
    </r>
    <r>
      <rPr>
        <u/>
        <sz val="10"/>
        <rFont val="Arial"/>
        <family val="2"/>
      </rPr>
      <t>Front End Ratio</t>
    </r>
    <r>
      <rPr>
        <sz val="10"/>
        <rFont val="Arial"/>
        <family val="2"/>
      </rPr>
      <t>, lower the better, should be at most 28-30%</t>
    </r>
  </si>
  <si>
    <r>
      <t>=</t>
    </r>
    <r>
      <rPr>
        <u/>
        <sz val="10"/>
        <rFont val="Arial"/>
        <family val="2"/>
      </rPr>
      <t xml:space="preserve"> Back End Ratio</t>
    </r>
    <r>
      <rPr>
        <sz val="10"/>
        <rFont val="Arial"/>
        <family val="2"/>
      </rPr>
      <t>, lower the better, should be at most 34-36%</t>
    </r>
  </si>
  <si>
    <t>Money Borrowed</t>
  </si>
  <si>
    <t>DCR = NOI/(Annual Debt Service), buy at 1.5 or higher the better, banks want 1.25 or greater</t>
  </si>
  <si>
    <t>Return</t>
  </si>
  <si>
    <t>Return could be our projected return or our borrower rate in a Private Lender deal</t>
  </si>
  <si>
    <t xml:space="preserve">Loan Constant = Monthly Payment *12 / Loan Amount </t>
  </si>
  <si>
    <t>Money 
Lent</t>
  </si>
  <si>
    <t>Possible splits with OPM (OPM% / Ken &amp; Rosette%)</t>
  </si>
  <si>
    <t>DCR should be from 1.5 to 1.7, so OPM rate should be from return/1.7 to return/1.5</t>
  </si>
  <si>
    <t>DCR example:  If return rate is 15%, then OPM should be from 8.82%-10.00%</t>
  </si>
  <si>
    <t>enter as &gt;= 0</t>
  </si>
  <si>
    <t>will always be &lt; 0</t>
  </si>
  <si>
    <t>Payment to Income Ratio, enter as %</t>
  </si>
  <si>
    <t>Enter value on blue cell to calculate the other cells</t>
  </si>
  <si>
    <t>Enter values on blue cells to calculate the other cells</t>
  </si>
  <si>
    <t>Enter value on blue cells to calculate the other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</si>
</sst>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0.000%"/>
    <numFmt numFmtId="167" formatCode="#,##0.0"/>
    <numFmt numFmtId="168" formatCode="0.0"/>
    <numFmt numFmtId="169" formatCode="mm/dd/yyyy"/>
    <numFmt numFmtId="171" formatCode="&quot;$&quot;#,##0.00"/>
    <numFmt numFmtId="172" formatCode="&quot;$&quot;#,##0"/>
    <numFmt numFmtId="177" formatCode="&quot;$&quot;#,##0.0000"/>
  </numFmts>
  <fonts count="1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b/>
      <sz val="12"/>
      <color theme="3"/>
      <name val="Arial"/>
      <family val="2"/>
    </font>
    <font>
      <sz val="10"/>
      <color theme="3"/>
      <name val="Arial"/>
      <family val="2"/>
    </font>
    <font>
      <sz val="12"/>
      <color theme="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8" fontId="0" fillId="0" borderId="0" xfId="0" applyNumberFormat="1"/>
    <xf numFmtId="6" fontId="0" fillId="0" borderId="0" xfId="0" applyNumberForma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Continuous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Continuous"/>
    </xf>
    <xf numFmtId="0" fontId="6" fillId="2" borderId="4" xfId="0" applyFont="1" applyFill="1" applyBorder="1" applyAlignment="1">
      <alignment horizontal="centerContinuous"/>
    </xf>
    <xf numFmtId="0" fontId="6" fillId="2" borderId="5" xfId="0" applyFont="1" applyFill="1" applyBorder="1" applyAlignment="1">
      <alignment horizontal="centerContinuous"/>
    </xf>
    <xf numFmtId="0" fontId="6" fillId="2" borderId="6" xfId="0" applyFont="1" applyFill="1" applyBorder="1" applyAlignment="1">
      <alignment horizontal="center"/>
    </xf>
    <xf numFmtId="164" fontId="5" fillId="0" borderId="7" xfId="0" applyNumberFormat="1" applyFont="1" applyBorder="1"/>
    <xf numFmtId="164" fontId="5" fillId="3" borderId="7" xfId="0" applyNumberFormat="1" applyFont="1" applyFill="1" applyBorder="1"/>
    <xf numFmtId="8" fontId="5" fillId="0" borderId="2" xfId="0" applyNumberFormat="1" applyFont="1" applyBorder="1"/>
    <xf numFmtId="8" fontId="5" fillId="3" borderId="7" xfId="0" applyNumberFormat="1" applyFont="1" applyFill="1" applyBorder="1"/>
    <xf numFmtId="8" fontId="5" fillId="0" borderId="7" xfId="0" applyNumberFormat="1" applyFont="1" applyBorder="1"/>
    <xf numFmtId="0" fontId="6" fillId="2" borderId="8" xfId="0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165" fontId="1" fillId="0" borderId="7" xfId="1" applyNumberFormat="1" applyBorder="1"/>
    <xf numFmtId="165" fontId="1" fillId="3" borderId="7" xfId="1" applyNumberFormat="1" applyFill="1" applyBorder="1"/>
    <xf numFmtId="0" fontId="2" fillId="0" borderId="0" xfId="0" applyFont="1"/>
    <xf numFmtId="0" fontId="3" fillId="0" borderId="0" xfId="0" applyFont="1" applyAlignment="1">
      <alignment horizontal="left"/>
    </xf>
    <xf numFmtId="3" fontId="1" fillId="0" borderId="7" xfId="1" applyNumberFormat="1" applyFill="1" applyBorder="1"/>
    <xf numFmtId="0" fontId="6" fillId="0" borderId="0" xfId="0" applyFont="1"/>
    <xf numFmtId="0" fontId="8" fillId="0" borderId="0" xfId="0" applyFont="1"/>
    <xf numFmtId="0" fontId="1" fillId="0" borderId="0" xfId="0" applyFont="1"/>
    <xf numFmtId="0" fontId="2" fillId="2" borderId="1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centerContinuous"/>
    </xf>
    <xf numFmtId="0" fontId="2" fillId="5" borderId="4" xfId="0" applyFont="1" applyFill="1" applyBorder="1" applyAlignment="1">
      <alignment horizontal="centerContinuous"/>
    </xf>
    <xf numFmtId="0" fontId="2" fillId="5" borderId="5" xfId="0" applyFont="1" applyFill="1" applyBorder="1" applyAlignment="1">
      <alignment horizontal="centerContinuous"/>
    </xf>
    <xf numFmtId="166" fontId="0" fillId="0" borderId="0" xfId="0" applyNumberFormat="1"/>
    <xf numFmtId="10" fontId="0" fillId="6" borderId="2" xfId="0" applyNumberFormat="1" applyFill="1" applyBorder="1"/>
    <xf numFmtId="10" fontId="0" fillId="6" borderId="7" xfId="0" applyNumberFormat="1" applyFill="1" applyBorder="1"/>
    <xf numFmtId="10" fontId="0" fillId="6" borderId="6" xfId="0" applyNumberFormat="1" applyFill="1" applyBorder="1"/>
    <xf numFmtId="2" fontId="2" fillId="0" borderId="1" xfId="0" applyNumberFormat="1" applyFont="1" applyBorder="1"/>
    <xf numFmtId="10" fontId="2" fillId="0" borderId="2" xfId="0" applyNumberFormat="1" applyFont="1" applyBorder="1"/>
    <xf numFmtId="10" fontId="2" fillId="0" borderId="7" xfId="0" applyNumberFormat="1" applyFont="1" applyBorder="1"/>
    <xf numFmtId="10" fontId="2" fillId="0" borderId="6" xfId="0" applyNumberFormat="1" applyFont="1" applyBorder="1"/>
    <xf numFmtId="0" fontId="2" fillId="6" borderId="1" xfId="0" applyFont="1" applyFill="1" applyBorder="1" applyAlignment="1">
      <alignment horizontal="center"/>
    </xf>
    <xf numFmtId="10" fontId="0" fillId="0" borderId="0" xfId="0" applyNumberFormat="1" applyAlignment="1">
      <alignment horizontal="right"/>
    </xf>
    <xf numFmtId="0" fontId="2" fillId="0" borderId="0" xfId="2" applyFont="1"/>
    <xf numFmtId="0" fontId="1" fillId="0" borderId="0" xfId="2"/>
    <xf numFmtId="0" fontId="2" fillId="2" borderId="1" xfId="2" applyFont="1" applyFill="1" applyBorder="1" applyAlignment="1">
      <alignment horizontal="center"/>
    </xf>
    <xf numFmtId="4" fontId="0" fillId="0" borderId="1" xfId="1" applyNumberFormat="1" applyFont="1" applyFill="1" applyBorder="1"/>
    <xf numFmtId="3" fontId="1" fillId="0" borderId="0" xfId="2" applyNumberFormat="1"/>
    <xf numFmtId="0" fontId="2" fillId="8" borderId="3" xfId="2" applyFont="1" applyFill="1" applyBorder="1" applyAlignment="1">
      <alignment horizontal="centerContinuous"/>
    </xf>
    <xf numFmtId="0" fontId="1" fillId="8" borderId="5" xfId="2" applyFill="1" applyBorder="1" applyAlignment="1">
      <alignment horizontal="centerContinuous"/>
    </xf>
    <xf numFmtId="0" fontId="2" fillId="8" borderId="1" xfId="2" applyFont="1" applyFill="1" applyBorder="1" applyAlignment="1">
      <alignment horizontal="center"/>
    </xf>
    <xf numFmtId="0" fontId="1" fillId="0" borderId="0" xfId="2" applyFill="1" applyBorder="1" applyAlignment="1">
      <alignment horizontal="centerContinuous"/>
    </xf>
    <xf numFmtId="3" fontId="2" fillId="0" borderId="0" xfId="2" applyNumberFormat="1" applyFont="1"/>
    <xf numFmtId="0" fontId="2" fillId="0" borderId="0" xfId="2" quotePrefix="1" applyFont="1"/>
    <xf numFmtId="0" fontId="1" fillId="7" borderId="0" xfId="2" applyFill="1"/>
    <xf numFmtId="1" fontId="1" fillId="0" borderId="0" xfId="2" applyNumberFormat="1" applyFill="1"/>
    <xf numFmtId="0" fontId="1" fillId="0" borderId="0" xfId="2" quotePrefix="1"/>
    <xf numFmtId="0" fontId="10" fillId="9" borderId="0" xfId="2" applyFont="1" applyFill="1"/>
    <xf numFmtId="164" fontId="0" fillId="7" borderId="0" xfId="3" applyNumberFormat="1" applyFont="1" applyFill="1"/>
    <xf numFmtId="3" fontId="1" fillId="0" borderId="0" xfId="2" applyNumberFormat="1" applyBorder="1"/>
    <xf numFmtId="1" fontId="1" fillId="0" borderId="0" xfId="2" applyNumberFormat="1"/>
    <xf numFmtId="164" fontId="2" fillId="0" borderId="0" xfId="3" applyNumberFormat="1" applyFont="1"/>
    <xf numFmtId="3" fontId="2" fillId="0" borderId="0" xfId="2" applyNumberFormat="1" applyFont="1" applyFill="1"/>
    <xf numFmtId="3" fontId="1" fillId="7" borderId="0" xfId="2" applyNumberFormat="1" applyFill="1"/>
    <xf numFmtId="3" fontId="1" fillId="0" borderId="0" xfId="2" applyNumberFormat="1" applyFill="1"/>
    <xf numFmtId="164" fontId="0" fillId="0" borderId="0" xfId="3" applyNumberFormat="1" applyFont="1"/>
    <xf numFmtId="168" fontId="1" fillId="0" borderId="0" xfId="2" applyNumberFormat="1"/>
    <xf numFmtId="2" fontId="1" fillId="0" borderId="0" xfId="2" applyNumberFormat="1"/>
    <xf numFmtId="0" fontId="2" fillId="0" borderId="0" xfId="2" applyFont="1" applyFill="1"/>
    <xf numFmtId="0" fontId="1" fillId="0" borderId="0" xfId="2" applyFill="1"/>
    <xf numFmtId="4" fontId="1" fillId="0" borderId="0" xfId="2" applyNumberFormat="1" applyBorder="1"/>
    <xf numFmtId="4" fontId="1" fillId="0" borderId="0" xfId="2" applyNumberFormat="1" applyFill="1"/>
    <xf numFmtId="0" fontId="2" fillId="0" borderId="0" xfId="2" applyFont="1" applyAlignment="1">
      <alignment horizontal="right"/>
    </xf>
    <xf numFmtId="0" fontId="1" fillId="0" borderId="9" xfId="2" applyBorder="1"/>
    <xf numFmtId="169" fontId="2" fillId="7" borderId="0" xfId="2" applyNumberFormat="1" applyFont="1" applyFill="1"/>
    <xf numFmtId="49" fontId="2" fillId="2" borderId="1" xfId="0" applyNumberFormat="1" applyFont="1" applyFill="1" applyBorder="1" applyAlignment="1">
      <alignment horizontal="center" wrapText="1"/>
    </xf>
    <xf numFmtId="167" fontId="0" fillId="0" borderId="1" xfId="0" applyNumberFormat="1" applyBorder="1"/>
    <xf numFmtId="4" fontId="1" fillId="0" borderId="1" xfId="0" applyNumberFormat="1" applyFont="1" applyFill="1" applyBorder="1"/>
    <xf numFmtId="3" fontId="0" fillId="0" borderId="1" xfId="0" applyNumberFormat="1" applyFill="1" applyBorder="1"/>
    <xf numFmtId="44" fontId="1" fillId="0" borderId="0" xfId="0" applyNumberFormat="1" applyFont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 wrapText="1"/>
    </xf>
    <xf numFmtId="8" fontId="1" fillId="0" borderId="6" xfId="2" applyNumberFormat="1" applyBorder="1"/>
    <xf numFmtId="0" fontId="1" fillId="0" borderId="3" xfId="2" applyBorder="1"/>
    <xf numFmtId="8" fontId="1" fillId="0" borderId="1" xfId="2" applyNumberFormat="1" applyBorder="1"/>
    <xf numFmtId="10" fontId="0" fillId="0" borderId="1" xfId="0" applyNumberFormat="1" applyFill="1" applyBorder="1"/>
    <xf numFmtId="0" fontId="1" fillId="0" borderId="10" xfId="2" applyBorder="1" applyAlignment="1">
      <alignment wrapText="1"/>
    </xf>
    <xf numFmtId="0" fontId="1" fillId="0" borderId="3" xfId="2" applyBorder="1" applyAlignment="1">
      <alignment wrapText="1"/>
    </xf>
    <xf numFmtId="4" fontId="1" fillId="0" borderId="1" xfId="1" applyNumberFormat="1" applyFont="1" applyFill="1" applyBorder="1"/>
    <xf numFmtId="171" fontId="1" fillId="0" borderId="6" xfId="2" applyNumberFormat="1" applyFont="1" applyBorder="1"/>
    <xf numFmtId="0" fontId="1" fillId="0" borderId="0" xfId="2" applyAlignment="1">
      <alignment horizontal="left" vertical="top" wrapText="1"/>
    </xf>
    <xf numFmtId="0" fontId="0" fillId="10" borderId="1" xfId="0" applyFill="1" applyBorder="1"/>
    <xf numFmtId="3" fontId="0" fillId="10" borderId="1" xfId="0" applyNumberFormat="1" applyFill="1" applyBorder="1"/>
    <xf numFmtId="10" fontId="0" fillId="10" borderId="1" xfId="3" applyNumberFormat="1" applyFont="1" applyFill="1" applyBorder="1"/>
    <xf numFmtId="4" fontId="0" fillId="10" borderId="1" xfId="0" applyNumberFormat="1" applyFill="1" applyBorder="1"/>
    <xf numFmtId="4" fontId="0" fillId="10" borderId="1" xfId="1" applyNumberFormat="1" applyFont="1" applyFill="1" applyBorder="1"/>
    <xf numFmtId="171" fontId="1" fillId="10" borderId="1" xfId="1" applyNumberFormat="1" applyFont="1" applyFill="1" applyBorder="1"/>
    <xf numFmtId="172" fontId="6" fillId="10" borderId="1" xfId="0" applyNumberFormat="1" applyFont="1" applyFill="1" applyBorder="1" applyAlignment="1">
      <alignment horizontal="centerContinuous"/>
    </xf>
    <xf numFmtId="172" fontId="1" fillId="10" borderId="1" xfId="2" applyNumberFormat="1" applyFill="1" applyBorder="1"/>
    <xf numFmtId="166" fontId="5" fillId="10" borderId="1" xfId="0" applyNumberFormat="1" applyFont="1" applyFill="1" applyBorder="1"/>
    <xf numFmtId="0" fontId="5" fillId="10" borderId="1" xfId="0" applyFont="1" applyFill="1" applyBorder="1"/>
    <xf numFmtId="172" fontId="5" fillId="10" borderId="1" xfId="1" applyNumberFormat="1" applyFont="1" applyFill="1" applyBorder="1"/>
    <xf numFmtId="0" fontId="6" fillId="0" borderId="0" xfId="0" applyFont="1" applyAlignment="1">
      <alignment horizontal="right"/>
    </xf>
    <xf numFmtId="171" fontId="1" fillId="3" borderId="7" xfId="1" applyNumberFormat="1" applyFill="1" applyBorder="1"/>
    <xf numFmtId="171" fontId="5" fillId="0" borderId="1" xfId="1" applyNumberFormat="1" applyFont="1" applyFill="1" applyBorder="1"/>
    <xf numFmtId="165" fontId="1" fillId="0" borderId="7" xfId="1" applyNumberFormat="1" applyFill="1" applyBorder="1"/>
    <xf numFmtId="171" fontId="1" fillId="0" borderId="7" xfId="1" applyNumberFormat="1" applyFill="1" applyBorder="1"/>
    <xf numFmtId="177" fontId="0" fillId="0" borderId="0" xfId="0" applyNumberFormat="1"/>
    <xf numFmtId="0" fontId="1" fillId="3" borderId="7" xfId="1" applyNumberFormat="1" applyFill="1" applyBorder="1"/>
    <xf numFmtId="171" fontId="5" fillId="0" borderId="0" xfId="0" applyNumberFormat="1" applyFont="1" applyAlignment="1">
      <alignment horizontal="right"/>
    </xf>
    <xf numFmtId="0" fontId="3" fillId="0" borderId="0" xfId="0" applyFont="1" applyAlignment="1">
      <alignment horizontal="centerContinuous" vertical="top"/>
    </xf>
    <xf numFmtId="164" fontId="5" fillId="10" borderId="1" xfId="0" applyNumberFormat="1" applyFont="1" applyFill="1" applyBorder="1"/>
    <xf numFmtId="172" fontId="0" fillId="0" borderId="7" xfId="1" applyNumberFormat="1" applyFont="1" applyBorder="1"/>
    <xf numFmtId="172" fontId="0" fillId="3" borderId="7" xfId="1" applyNumberFormat="1" applyFont="1" applyFill="1" applyBorder="1"/>
    <xf numFmtId="164" fontId="15" fillId="2" borderId="6" xfId="0" applyNumberFormat="1" applyFont="1" applyFill="1" applyBorder="1" applyAlignment="1">
      <alignment horizontal="center"/>
    </xf>
    <xf numFmtId="165" fontId="16" fillId="0" borderId="7" xfId="1" applyNumberFormat="1" applyFont="1" applyBorder="1"/>
    <xf numFmtId="164" fontId="17" fillId="0" borderId="2" xfId="0" applyNumberFormat="1" applyFont="1" applyBorder="1"/>
    <xf numFmtId="172" fontId="16" fillId="0" borderId="2" xfId="1" applyNumberFormat="1" applyFont="1" applyBorder="1"/>
    <xf numFmtId="164" fontId="15" fillId="2" borderId="1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0" xfId="0" quotePrefix="1" applyFont="1"/>
    <xf numFmtId="0" fontId="1" fillId="0" borderId="0" xfId="0" quotePrefix="1" applyFont="1" applyFill="1" applyBorder="1"/>
    <xf numFmtId="0" fontId="1" fillId="10" borderId="0" xfId="0" applyFont="1" applyFill="1"/>
    <xf numFmtId="0" fontId="1" fillId="10" borderId="0" xfId="2" applyFill="1"/>
    <xf numFmtId="0" fontId="3" fillId="0" borderId="0" xfId="2" applyFont="1"/>
    <xf numFmtId="0" fontId="1" fillId="0" borderId="0" xfId="0" applyFont="1" applyAlignment="1">
      <alignment vertical="center"/>
    </xf>
    <xf numFmtId="2" fontId="16" fillId="5" borderId="1" xfId="0" applyNumberFormat="1" applyFont="1" applyFill="1" applyBorder="1"/>
    <xf numFmtId="2" fontId="0" fillId="5" borderId="1" xfId="0" applyNumberFormat="1" applyFill="1" applyBorder="1"/>
    <xf numFmtId="3" fontId="1" fillId="10" borderId="1" xfId="1" applyNumberFormat="1" applyFont="1" applyFill="1" applyBorder="1"/>
  </cellXfs>
  <cellStyles count="4">
    <cellStyle name="Currency" xfId="1" builtinId="4"/>
    <cellStyle name="Normal" xfId="0" builtinId="0"/>
    <cellStyle name="Normal 2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Y28"/>
  <sheetViews>
    <sheetView showGridLines="0" workbookViewId="0">
      <selection activeCell="B11" sqref="B11"/>
    </sheetView>
  </sheetViews>
  <sheetFormatPr defaultRowHeight="12.75"/>
  <cols>
    <col min="1" max="1" width="1.7109375" style="47" customWidth="1"/>
    <col min="2" max="25" width="9.7109375" style="47" customWidth="1"/>
    <col min="26" max="232" width="8.85546875" style="47"/>
    <col min="233" max="233" width="1.7109375" style="47" customWidth="1"/>
    <col min="234" max="234" width="18" style="47" customWidth="1"/>
    <col min="235" max="235" width="13.5703125" style="47" bestFit="1" customWidth="1"/>
    <col min="236" max="236" width="13.28515625" style="47" bestFit="1" customWidth="1"/>
    <col min="237" max="237" width="12.7109375" style="47" bestFit="1" customWidth="1"/>
    <col min="238" max="238" width="8.85546875" style="47"/>
    <col min="239" max="239" width="8.5703125" style="47" bestFit="1" customWidth="1"/>
    <col min="240" max="240" width="9.5703125" style="47" customWidth="1"/>
    <col min="241" max="244" width="8.5703125" style="47" bestFit="1" customWidth="1"/>
    <col min="245" max="247" width="9.5703125" style="47" bestFit="1" customWidth="1"/>
    <col min="248" max="488" width="8.85546875" style="47"/>
    <col min="489" max="489" width="1.7109375" style="47" customWidth="1"/>
    <col min="490" max="490" width="18" style="47" customWidth="1"/>
    <col min="491" max="491" width="13.5703125" style="47" bestFit="1" customWidth="1"/>
    <col min="492" max="492" width="13.28515625" style="47" bestFit="1" customWidth="1"/>
    <col min="493" max="493" width="12.7109375" style="47" bestFit="1" customWidth="1"/>
    <col min="494" max="494" width="8.85546875" style="47"/>
    <col min="495" max="495" width="8.5703125" style="47" bestFit="1" customWidth="1"/>
    <col min="496" max="496" width="9.5703125" style="47" customWidth="1"/>
    <col min="497" max="500" width="8.5703125" style="47" bestFit="1" customWidth="1"/>
    <col min="501" max="503" width="9.5703125" style="47" bestFit="1" customWidth="1"/>
    <col min="504" max="744" width="8.85546875" style="47"/>
    <col min="745" max="745" width="1.7109375" style="47" customWidth="1"/>
    <col min="746" max="746" width="18" style="47" customWidth="1"/>
    <col min="747" max="747" width="13.5703125" style="47" bestFit="1" customWidth="1"/>
    <col min="748" max="748" width="13.28515625" style="47" bestFit="1" customWidth="1"/>
    <col min="749" max="749" width="12.7109375" style="47" bestFit="1" customWidth="1"/>
    <col min="750" max="750" width="8.85546875" style="47"/>
    <col min="751" max="751" width="8.5703125" style="47" bestFit="1" customWidth="1"/>
    <col min="752" max="752" width="9.5703125" style="47" customWidth="1"/>
    <col min="753" max="756" width="8.5703125" style="47" bestFit="1" customWidth="1"/>
    <col min="757" max="759" width="9.5703125" style="47" bestFit="1" customWidth="1"/>
    <col min="760" max="1000" width="8.85546875" style="47"/>
    <col min="1001" max="1001" width="1.7109375" style="47" customWidth="1"/>
    <col min="1002" max="1002" width="18" style="47" customWidth="1"/>
    <col min="1003" max="1003" width="13.5703125" style="47" bestFit="1" customWidth="1"/>
    <col min="1004" max="1004" width="13.28515625" style="47" bestFit="1" customWidth="1"/>
    <col min="1005" max="1005" width="12.7109375" style="47" bestFit="1" customWidth="1"/>
    <col min="1006" max="1006" width="8.85546875" style="47"/>
    <col min="1007" max="1007" width="8.5703125" style="47" bestFit="1" customWidth="1"/>
    <col min="1008" max="1008" width="9.5703125" style="47" customWidth="1"/>
    <col min="1009" max="1012" width="8.5703125" style="47" bestFit="1" customWidth="1"/>
    <col min="1013" max="1015" width="9.5703125" style="47" bestFit="1" customWidth="1"/>
    <col min="1016" max="1256" width="8.85546875" style="47"/>
    <col min="1257" max="1257" width="1.7109375" style="47" customWidth="1"/>
    <col min="1258" max="1258" width="18" style="47" customWidth="1"/>
    <col min="1259" max="1259" width="13.5703125" style="47" bestFit="1" customWidth="1"/>
    <col min="1260" max="1260" width="13.28515625" style="47" bestFit="1" customWidth="1"/>
    <col min="1261" max="1261" width="12.7109375" style="47" bestFit="1" customWidth="1"/>
    <col min="1262" max="1262" width="8.85546875" style="47"/>
    <col min="1263" max="1263" width="8.5703125" style="47" bestFit="1" customWidth="1"/>
    <col min="1264" max="1264" width="9.5703125" style="47" customWidth="1"/>
    <col min="1265" max="1268" width="8.5703125" style="47" bestFit="1" customWidth="1"/>
    <col min="1269" max="1271" width="9.5703125" style="47" bestFit="1" customWidth="1"/>
    <col min="1272" max="1512" width="8.85546875" style="47"/>
    <col min="1513" max="1513" width="1.7109375" style="47" customWidth="1"/>
    <col min="1514" max="1514" width="18" style="47" customWidth="1"/>
    <col min="1515" max="1515" width="13.5703125" style="47" bestFit="1" customWidth="1"/>
    <col min="1516" max="1516" width="13.28515625" style="47" bestFit="1" customWidth="1"/>
    <col min="1517" max="1517" width="12.7109375" style="47" bestFit="1" customWidth="1"/>
    <col min="1518" max="1518" width="8.85546875" style="47"/>
    <col min="1519" max="1519" width="8.5703125" style="47" bestFit="1" customWidth="1"/>
    <col min="1520" max="1520" width="9.5703125" style="47" customWidth="1"/>
    <col min="1521" max="1524" width="8.5703125" style="47" bestFit="1" customWidth="1"/>
    <col min="1525" max="1527" width="9.5703125" style="47" bestFit="1" customWidth="1"/>
    <col min="1528" max="1768" width="8.85546875" style="47"/>
    <col min="1769" max="1769" width="1.7109375" style="47" customWidth="1"/>
    <col min="1770" max="1770" width="18" style="47" customWidth="1"/>
    <col min="1771" max="1771" width="13.5703125" style="47" bestFit="1" customWidth="1"/>
    <col min="1772" max="1772" width="13.28515625" style="47" bestFit="1" customWidth="1"/>
    <col min="1773" max="1773" width="12.7109375" style="47" bestFit="1" customWidth="1"/>
    <col min="1774" max="1774" width="8.85546875" style="47"/>
    <col min="1775" max="1775" width="8.5703125" style="47" bestFit="1" customWidth="1"/>
    <col min="1776" max="1776" width="9.5703125" style="47" customWidth="1"/>
    <col min="1777" max="1780" width="8.5703125" style="47" bestFit="1" customWidth="1"/>
    <col min="1781" max="1783" width="9.5703125" style="47" bestFit="1" customWidth="1"/>
    <col min="1784" max="2024" width="8.85546875" style="47"/>
    <col min="2025" max="2025" width="1.7109375" style="47" customWidth="1"/>
    <col min="2026" max="2026" width="18" style="47" customWidth="1"/>
    <col min="2027" max="2027" width="13.5703125" style="47" bestFit="1" customWidth="1"/>
    <col min="2028" max="2028" width="13.28515625" style="47" bestFit="1" customWidth="1"/>
    <col min="2029" max="2029" width="12.7109375" style="47" bestFit="1" customWidth="1"/>
    <col min="2030" max="2030" width="8.85546875" style="47"/>
    <col min="2031" max="2031" width="8.5703125" style="47" bestFit="1" customWidth="1"/>
    <col min="2032" max="2032" width="9.5703125" style="47" customWidth="1"/>
    <col min="2033" max="2036" width="8.5703125" style="47" bestFit="1" customWidth="1"/>
    <col min="2037" max="2039" width="9.5703125" style="47" bestFit="1" customWidth="1"/>
    <col min="2040" max="2280" width="8.85546875" style="47"/>
    <col min="2281" max="2281" width="1.7109375" style="47" customWidth="1"/>
    <col min="2282" max="2282" width="18" style="47" customWidth="1"/>
    <col min="2283" max="2283" width="13.5703125" style="47" bestFit="1" customWidth="1"/>
    <col min="2284" max="2284" width="13.28515625" style="47" bestFit="1" customWidth="1"/>
    <col min="2285" max="2285" width="12.7109375" style="47" bestFit="1" customWidth="1"/>
    <col min="2286" max="2286" width="8.85546875" style="47"/>
    <col min="2287" max="2287" width="8.5703125" style="47" bestFit="1" customWidth="1"/>
    <col min="2288" max="2288" width="9.5703125" style="47" customWidth="1"/>
    <col min="2289" max="2292" width="8.5703125" style="47" bestFit="1" customWidth="1"/>
    <col min="2293" max="2295" width="9.5703125" style="47" bestFit="1" customWidth="1"/>
    <col min="2296" max="2536" width="8.85546875" style="47"/>
    <col min="2537" max="2537" width="1.7109375" style="47" customWidth="1"/>
    <col min="2538" max="2538" width="18" style="47" customWidth="1"/>
    <col min="2539" max="2539" width="13.5703125" style="47" bestFit="1" customWidth="1"/>
    <col min="2540" max="2540" width="13.28515625" style="47" bestFit="1" customWidth="1"/>
    <col min="2541" max="2541" width="12.7109375" style="47" bestFit="1" customWidth="1"/>
    <col min="2542" max="2542" width="8.85546875" style="47"/>
    <col min="2543" max="2543" width="8.5703125" style="47" bestFit="1" customWidth="1"/>
    <col min="2544" max="2544" width="9.5703125" style="47" customWidth="1"/>
    <col min="2545" max="2548" width="8.5703125" style="47" bestFit="1" customWidth="1"/>
    <col min="2549" max="2551" width="9.5703125" style="47" bestFit="1" customWidth="1"/>
    <col min="2552" max="2792" width="8.85546875" style="47"/>
    <col min="2793" max="2793" width="1.7109375" style="47" customWidth="1"/>
    <col min="2794" max="2794" width="18" style="47" customWidth="1"/>
    <col min="2795" max="2795" width="13.5703125" style="47" bestFit="1" customWidth="1"/>
    <col min="2796" max="2796" width="13.28515625" style="47" bestFit="1" customWidth="1"/>
    <col min="2797" max="2797" width="12.7109375" style="47" bestFit="1" customWidth="1"/>
    <col min="2798" max="2798" width="8.85546875" style="47"/>
    <col min="2799" max="2799" width="8.5703125" style="47" bestFit="1" customWidth="1"/>
    <col min="2800" max="2800" width="9.5703125" style="47" customWidth="1"/>
    <col min="2801" max="2804" width="8.5703125" style="47" bestFit="1" customWidth="1"/>
    <col min="2805" max="2807" width="9.5703125" style="47" bestFit="1" customWidth="1"/>
    <col min="2808" max="3048" width="8.85546875" style="47"/>
    <col min="3049" max="3049" width="1.7109375" style="47" customWidth="1"/>
    <col min="3050" max="3050" width="18" style="47" customWidth="1"/>
    <col min="3051" max="3051" width="13.5703125" style="47" bestFit="1" customWidth="1"/>
    <col min="3052" max="3052" width="13.28515625" style="47" bestFit="1" customWidth="1"/>
    <col min="3053" max="3053" width="12.7109375" style="47" bestFit="1" customWidth="1"/>
    <col min="3054" max="3054" width="8.85546875" style="47"/>
    <col min="3055" max="3055" width="8.5703125" style="47" bestFit="1" customWidth="1"/>
    <col min="3056" max="3056" width="9.5703125" style="47" customWidth="1"/>
    <col min="3057" max="3060" width="8.5703125" style="47" bestFit="1" customWidth="1"/>
    <col min="3061" max="3063" width="9.5703125" style="47" bestFit="1" customWidth="1"/>
    <col min="3064" max="3304" width="8.85546875" style="47"/>
    <col min="3305" max="3305" width="1.7109375" style="47" customWidth="1"/>
    <col min="3306" max="3306" width="18" style="47" customWidth="1"/>
    <col min="3307" max="3307" width="13.5703125" style="47" bestFit="1" customWidth="1"/>
    <col min="3308" max="3308" width="13.28515625" style="47" bestFit="1" customWidth="1"/>
    <col min="3309" max="3309" width="12.7109375" style="47" bestFit="1" customWidth="1"/>
    <col min="3310" max="3310" width="8.85546875" style="47"/>
    <col min="3311" max="3311" width="8.5703125" style="47" bestFit="1" customWidth="1"/>
    <col min="3312" max="3312" width="9.5703125" style="47" customWidth="1"/>
    <col min="3313" max="3316" width="8.5703125" style="47" bestFit="1" customWidth="1"/>
    <col min="3317" max="3319" width="9.5703125" style="47" bestFit="1" customWidth="1"/>
    <col min="3320" max="3560" width="8.85546875" style="47"/>
    <col min="3561" max="3561" width="1.7109375" style="47" customWidth="1"/>
    <col min="3562" max="3562" width="18" style="47" customWidth="1"/>
    <col min="3563" max="3563" width="13.5703125" style="47" bestFit="1" customWidth="1"/>
    <col min="3564" max="3564" width="13.28515625" style="47" bestFit="1" customWidth="1"/>
    <col min="3565" max="3565" width="12.7109375" style="47" bestFit="1" customWidth="1"/>
    <col min="3566" max="3566" width="8.85546875" style="47"/>
    <col min="3567" max="3567" width="8.5703125" style="47" bestFit="1" customWidth="1"/>
    <col min="3568" max="3568" width="9.5703125" style="47" customWidth="1"/>
    <col min="3569" max="3572" width="8.5703125" style="47" bestFit="1" customWidth="1"/>
    <col min="3573" max="3575" width="9.5703125" style="47" bestFit="1" customWidth="1"/>
    <col min="3576" max="3816" width="8.85546875" style="47"/>
    <col min="3817" max="3817" width="1.7109375" style="47" customWidth="1"/>
    <col min="3818" max="3818" width="18" style="47" customWidth="1"/>
    <col min="3819" max="3819" width="13.5703125" style="47" bestFit="1" customWidth="1"/>
    <col min="3820" max="3820" width="13.28515625" style="47" bestFit="1" customWidth="1"/>
    <col min="3821" max="3821" width="12.7109375" style="47" bestFit="1" customWidth="1"/>
    <col min="3822" max="3822" width="8.85546875" style="47"/>
    <col min="3823" max="3823" width="8.5703125" style="47" bestFit="1" customWidth="1"/>
    <col min="3824" max="3824" width="9.5703125" style="47" customWidth="1"/>
    <col min="3825" max="3828" width="8.5703125" style="47" bestFit="1" customWidth="1"/>
    <col min="3829" max="3831" width="9.5703125" style="47" bestFit="1" customWidth="1"/>
    <col min="3832" max="4072" width="8.85546875" style="47"/>
    <col min="4073" max="4073" width="1.7109375" style="47" customWidth="1"/>
    <col min="4074" max="4074" width="18" style="47" customWidth="1"/>
    <col min="4075" max="4075" width="13.5703125" style="47" bestFit="1" customWidth="1"/>
    <col min="4076" max="4076" width="13.28515625" style="47" bestFit="1" customWidth="1"/>
    <col min="4077" max="4077" width="12.7109375" style="47" bestFit="1" customWidth="1"/>
    <col min="4078" max="4078" width="8.85546875" style="47"/>
    <col min="4079" max="4079" width="8.5703125" style="47" bestFit="1" customWidth="1"/>
    <col min="4080" max="4080" width="9.5703125" style="47" customWidth="1"/>
    <col min="4081" max="4084" width="8.5703125" style="47" bestFit="1" customWidth="1"/>
    <col min="4085" max="4087" width="9.5703125" style="47" bestFit="1" customWidth="1"/>
    <col min="4088" max="4328" width="8.85546875" style="47"/>
    <col min="4329" max="4329" width="1.7109375" style="47" customWidth="1"/>
    <col min="4330" max="4330" width="18" style="47" customWidth="1"/>
    <col min="4331" max="4331" width="13.5703125" style="47" bestFit="1" customWidth="1"/>
    <col min="4332" max="4332" width="13.28515625" style="47" bestFit="1" customWidth="1"/>
    <col min="4333" max="4333" width="12.7109375" style="47" bestFit="1" customWidth="1"/>
    <col min="4334" max="4334" width="8.85546875" style="47"/>
    <col min="4335" max="4335" width="8.5703125" style="47" bestFit="1" customWidth="1"/>
    <col min="4336" max="4336" width="9.5703125" style="47" customWidth="1"/>
    <col min="4337" max="4340" width="8.5703125" style="47" bestFit="1" customWidth="1"/>
    <col min="4341" max="4343" width="9.5703125" style="47" bestFit="1" customWidth="1"/>
    <col min="4344" max="4584" width="8.85546875" style="47"/>
    <col min="4585" max="4585" width="1.7109375" style="47" customWidth="1"/>
    <col min="4586" max="4586" width="18" style="47" customWidth="1"/>
    <col min="4587" max="4587" width="13.5703125" style="47" bestFit="1" customWidth="1"/>
    <col min="4588" max="4588" width="13.28515625" style="47" bestFit="1" customWidth="1"/>
    <col min="4589" max="4589" width="12.7109375" style="47" bestFit="1" customWidth="1"/>
    <col min="4590" max="4590" width="8.85546875" style="47"/>
    <col min="4591" max="4591" width="8.5703125" style="47" bestFit="1" customWidth="1"/>
    <col min="4592" max="4592" width="9.5703125" style="47" customWidth="1"/>
    <col min="4593" max="4596" width="8.5703125" style="47" bestFit="1" customWidth="1"/>
    <col min="4597" max="4599" width="9.5703125" style="47" bestFit="1" customWidth="1"/>
    <col min="4600" max="4840" width="8.85546875" style="47"/>
    <col min="4841" max="4841" width="1.7109375" style="47" customWidth="1"/>
    <col min="4842" max="4842" width="18" style="47" customWidth="1"/>
    <col min="4843" max="4843" width="13.5703125" style="47" bestFit="1" customWidth="1"/>
    <col min="4844" max="4844" width="13.28515625" style="47" bestFit="1" customWidth="1"/>
    <col min="4845" max="4845" width="12.7109375" style="47" bestFit="1" customWidth="1"/>
    <col min="4846" max="4846" width="8.85546875" style="47"/>
    <col min="4847" max="4847" width="8.5703125" style="47" bestFit="1" customWidth="1"/>
    <col min="4848" max="4848" width="9.5703125" style="47" customWidth="1"/>
    <col min="4849" max="4852" width="8.5703125" style="47" bestFit="1" customWidth="1"/>
    <col min="4853" max="4855" width="9.5703125" style="47" bestFit="1" customWidth="1"/>
    <col min="4856" max="5096" width="8.85546875" style="47"/>
    <col min="5097" max="5097" width="1.7109375" style="47" customWidth="1"/>
    <col min="5098" max="5098" width="18" style="47" customWidth="1"/>
    <col min="5099" max="5099" width="13.5703125" style="47" bestFit="1" customWidth="1"/>
    <col min="5100" max="5100" width="13.28515625" style="47" bestFit="1" customWidth="1"/>
    <col min="5101" max="5101" width="12.7109375" style="47" bestFit="1" customWidth="1"/>
    <col min="5102" max="5102" width="8.85546875" style="47"/>
    <col min="5103" max="5103" width="8.5703125" style="47" bestFit="1" customWidth="1"/>
    <col min="5104" max="5104" width="9.5703125" style="47" customWidth="1"/>
    <col min="5105" max="5108" width="8.5703125" style="47" bestFit="1" customWidth="1"/>
    <col min="5109" max="5111" width="9.5703125" style="47" bestFit="1" customWidth="1"/>
    <col min="5112" max="5352" width="8.85546875" style="47"/>
    <col min="5353" max="5353" width="1.7109375" style="47" customWidth="1"/>
    <col min="5354" max="5354" width="18" style="47" customWidth="1"/>
    <col min="5355" max="5355" width="13.5703125" style="47" bestFit="1" customWidth="1"/>
    <col min="5356" max="5356" width="13.28515625" style="47" bestFit="1" customWidth="1"/>
    <col min="5357" max="5357" width="12.7109375" style="47" bestFit="1" customWidth="1"/>
    <col min="5358" max="5358" width="8.85546875" style="47"/>
    <col min="5359" max="5359" width="8.5703125" style="47" bestFit="1" customWidth="1"/>
    <col min="5360" max="5360" width="9.5703125" style="47" customWidth="1"/>
    <col min="5361" max="5364" width="8.5703125" style="47" bestFit="1" customWidth="1"/>
    <col min="5365" max="5367" width="9.5703125" style="47" bestFit="1" customWidth="1"/>
    <col min="5368" max="5608" width="8.85546875" style="47"/>
    <col min="5609" max="5609" width="1.7109375" style="47" customWidth="1"/>
    <col min="5610" max="5610" width="18" style="47" customWidth="1"/>
    <col min="5611" max="5611" width="13.5703125" style="47" bestFit="1" customWidth="1"/>
    <col min="5612" max="5612" width="13.28515625" style="47" bestFit="1" customWidth="1"/>
    <col min="5613" max="5613" width="12.7109375" style="47" bestFit="1" customWidth="1"/>
    <col min="5614" max="5614" width="8.85546875" style="47"/>
    <col min="5615" max="5615" width="8.5703125" style="47" bestFit="1" customWidth="1"/>
    <col min="5616" max="5616" width="9.5703125" style="47" customWidth="1"/>
    <col min="5617" max="5620" width="8.5703125" style="47" bestFit="1" customWidth="1"/>
    <col min="5621" max="5623" width="9.5703125" style="47" bestFit="1" customWidth="1"/>
    <col min="5624" max="5864" width="8.85546875" style="47"/>
    <col min="5865" max="5865" width="1.7109375" style="47" customWidth="1"/>
    <col min="5866" max="5866" width="18" style="47" customWidth="1"/>
    <col min="5867" max="5867" width="13.5703125" style="47" bestFit="1" customWidth="1"/>
    <col min="5868" max="5868" width="13.28515625" style="47" bestFit="1" customWidth="1"/>
    <col min="5869" max="5869" width="12.7109375" style="47" bestFit="1" customWidth="1"/>
    <col min="5870" max="5870" width="8.85546875" style="47"/>
    <col min="5871" max="5871" width="8.5703125" style="47" bestFit="1" customWidth="1"/>
    <col min="5872" max="5872" width="9.5703125" style="47" customWidth="1"/>
    <col min="5873" max="5876" width="8.5703125" style="47" bestFit="1" customWidth="1"/>
    <col min="5877" max="5879" width="9.5703125" style="47" bestFit="1" customWidth="1"/>
    <col min="5880" max="6120" width="8.85546875" style="47"/>
    <col min="6121" max="6121" width="1.7109375" style="47" customWidth="1"/>
    <col min="6122" max="6122" width="18" style="47" customWidth="1"/>
    <col min="6123" max="6123" width="13.5703125" style="47" bestFit="1" customWidth="1"/>
    <col min="6124" max="6124" width="13.28515625" style="47" bestFit="1" customWidth="1"/>
    <col min="6125" max="6125" width="12.7109375" style="47" bestFit="1" customWidth="1"/>
    <col min="6126" max="6126" width="8.85546875" style="47"/>
    <col min="6127" max="6127" width="8.5703125" style="47" bestFit="1" customWidth="1"/>
    <col min="6128" max="6128" width="9.5703125" style="47" customWidth="1"/>
    <col min="6129" max="6132" width="8.5703125" style="47" bestFit="1" customWidth="1"/>
    <col min="6133" max="6135" width="9.5703125" style="47" bestFit="1" customWidth="1"/>
    <col min="6136" max="6376" width="8.85546875" style="47"/>
    <col min="6377" max="6377" width="1.7109375" style="47" customWidth="1"/>
    <col min="6378" max="6378" width="18" style="47" customWidth="1"/>
    <col min="6379" max="6379" width="13.5703125" style="47" bestFit="1" customWidth="1"/>
    <col min="6380" max="6380" width="13.28515625" style="47" bestFit="1" customWidth="1"/>
    <col min="6381" max="6381" width="12.7109375" style="47" bestFit="1" customWidth="1"/>
    <col min="6382" max="6382" width="8.85546875" style="47"/>
    <col min="6383" max="6383" width="8.5703125" style="47" bestFit="1" customWidth="1"/>
    <col min="6384" max="6384" width="9.5703125" style="47" customWidth="1"/>
    <col min="6385" max="6388" width="8.5703125" style="47" bestFit="1" customWidth="1"/>
    <col min="6389" max="6391" width="9.5703125" style="47" bestFit="1" customWidth="1"/>
    <col min="6392" max="6632" width="8.85546875" style="47"/>
    <col min="6633" max="6633" width="1.7109375" style="47" customWidth="1"/>
    <col min="6634" max="6634" width="18" style="47" customWidth="1"/>
    <col min="6635" max="6635" width="13.5703125" style="47" bestFit="1" customWidth="1"/>
    <col min="6636" max="6636" width="13.28515625" style="47" bestFit="1" customWidth="1"/>
    <col min="6637" max="6637" width="12.7109375" style="47" bestFit="1" customWidth="1"/>
    <col min="6638" max="6638" width="8.85546875" style="47"/>
    <col min="6639" max="6639" width="8.5703125" style="47" bestFit="1" customWidth="1"/>
    <col min="6640" max="6640" width="9.5703125" style="47" customWidth="1"/>
    <col min="6641" max="6644" width="8.5703125" style="47" bestFit="1" customWidth="1"/>
    <col min="6645" max="6647" width="9.5703125" style="47" bestFit="1" customWidth="1"/>
    <col min="6648" max="6888" width="8.85546875" style="47"/>
    <col min="6889" max="6889" width="1.7109375" style="47" customWidth="1"/>
    <col min="6890" max="6890" width="18" style="47" customWidth="1"/>
    <col min="6891" max="6891" width="13.5703125" style="47" bestFit="1" customWidth="1"/>
    <col min="6892" max="6892" width="13.28515625" style="47" bestFit="1" customWidth="1"/>
    <col min="6893" max="6893" width="12.7109375" style="47" bestFit="1" customWidth="1"/>
    <col min="6894" max="6894" width="8.85546875" style="47"/>
    <col min="6895" max="6895" width="8.5703125" style="47" bestFit="1" customWidth="1"/>
    <col min="6896" max="6896" width="9.5703125" style="47" customWidth="1"/>
    <col min="6897" max="6900" width="8.5703125" style="47" bestFit="1" customWidth="1"/>
    <col min="6901" max="6903" width="9.5703125" style="47" bestFit="1" customWidth="1"/>
    <col min="6904" max="7144" width="8.85546875" style="47"/>
    <col min="7145" max="7145" width="1.7109375" style="47" customWidth="1"/>
    <col min="7146" max="7146" width="18" style="47" customWidth="1"/>
    <col min="7147" max="7147" width="13.5703125" style="47" bestFit="1" customWidth="1"/>
    <col min="7148" max="7148" width="13.28515625" style="47" bestFit="1" customWidth="1"/>
    <col min="7149" max="7149" width="12.7109375" style="47" bestFit="1" customWidth="1"/>
    <col min="7150" max="7150" width="8.85546875" style="47"/>
    <col min="7151" max="7151" width="8.5703125" style="47" bestFit="1" customWidth="1"/>
    <col min="7152" max="7152" width="9.5703125" style="47" customWidth="1"/>
    <col min="7153" max="7156" width="8.5703125" style="47" bestFit="1" customWidth="1"/>
    <col min="7157" max="7159" width="9.5703125" style="47" bestFit="1" customWidth="1"/>
    <col min="7160" max="7400" width="8.85546875" style="47"/>
    <col min="7401" max="7401" width="1.7109375" style="47" customWidth="1"/>
    <col min="7402" max="7402" width="18" style="47" customWidth="1"/>
    <col min="7403" max="7403" width="13.5703125" style="47" bestFit="1" customWidth="1"/>
    <col min="7404" max="7404" width="13.28515625" style="47" bestFit="1" customWidth="1"/>
    <col min="7405" max="7405" width="12.7109375" style="47" bestFit="1" customWidth="1"/>
    <col min="7406" max="7406" width="8.85546875" style="47"/>
    <col min="7407" max="7407" width="8.5703125" style="47" bestFit="1" customWidth="1"/>
    <col min="7408" max="7408" width="9.5703125" style="47" customWidth="1"/>
    <col min="7409" max="7412" width="8.5703125" style="47" bestFit="1" customWidth="1"/>
    <col min="7413" max="7415" width="9.5703125" style="47" bestFit="1" customWidth="1"/>
    <col min="7416" max="7656" width="8.85546875" style="47"/>
    <col min="7657" max="7657" width="1.7109375" style="47" customWidth="1"/>
    <col min="7658" max="7658" width="18" style="47" customWidth="1"/>
    <col min="7659" max="7659" width="13.5703125" style="47" bestFit="1" customWidth="1"/>
    <col min="7660" max="7660" width="13.28515625" style="47" bestFit="1" customWidth="1"/>
    <col min="7661" max="7661" width="12.7109375" style="47" bestFit="1" customWidth="1"/>
    <col min="7662" max="7662" width="8.85546875" style="47"/>
    <col min="7663" max="7663" width="8.5703125" style="47" bestFit="1" customWidth="1"/>
    <col min="7664" max="7664" width="9.5703125" style="47" customWidth="1"/>
    <col min="7665" max="7668" width="8.5703125" style="47" bestFit="1" customWidth="1"/>
    <col min="7669" max="7671" width="9.5703125" style="47" bestFit="1" customWidth="1"/>
    <col min="7672" max="7912" width="8.85546875" style="47"/>
    <col min="7913" max="7913" width="1.7109375" style="47" customWidth="1"/>
    <col min="7914" max="7914" width="18" style="47" customWidth="1"/>
    <col min="7915" max="7915" width="13.5703125" style="47" bestFit="1" customWidth="1"/>
    <col min="7916" max="7916" width="13.28515625" style="47" bestFit="1" customWidth="1"/>
    <col min="7917" max="7917" width="12.7109375" style="47" bestFit="1" customWidth="1"/>
    <col min="7918" max="7918" width="8.85546875" style="47"/>
    <col min="7919" max="7919" width="8.5703125" style="47" bestFit="1" customWidth="1"/>
    <col min="7920" max="7920" width="9.5703125" style="47" customWidth="1"/>
    <col min="7921" max="7924" width="8.5703125" style="47" bestFit="1" customWidth="1"/>
    <col min="7925" max="7927" width="9.5703125" style="47" bestFit="1" customWidth="1"/>
    <col min="7928" max="8168" width="8.85546875" style="47"/>
    <col min="8169" max="8169" width="1.7109375" style="47" customWidth="1"/>
    <col min="8170" max="8170" width="18" style="47" customWidth="1"/>
    <col min="8171" max="8171" width="13.5703125" style="47" bestFit="1" customWidth="1"/>
    <col min="8172" max="8172" width="13.28515625" style="47" bestFit="1" customWidth="1"/>
    <col min="8173" max="8173" width="12.7109375" style="47" bestFit="1" customWidth="1"/>
    <col min="8174" max="8174" width="8.85546875" style="47"/>
    <col min="8175" max="8175" width="8.5703125" style="47" bestFit="1" customWidth="1"/>
    <col min="8176" max="8176" width="9.5703125" style="47" customWidth="1"/>
    <col min="8177" max="8180" width="8.5703125" style="47" bestFit="1" customWidth="1"/>
    <col min="8181" max="8183" width="9.5703125" style="47" bestFit="1" customWidth="1"/>
    <col min="8184" max="8424" width="8.85546875" style="47"/>
    <col min="8425" max="8425" width="1.7109375" style="47" customWidth="1"/>
    <col min="8426" max="8426" width="18" style="47" customWidth="1"/>
    <col min="8427" max="8427" width="13.5703125" style="47" bestFit="1" customWidth="1"/>
    <col min="8428" max="8428" width="13.28515625" style="47" bestFit="1" customWidth="1"/>
    <col min="8429" max="8429" width="12.7109375" style="47" bestFit="1" customWidth="1"/>
    <col min="8430" max="8430" width="8.85546875" style="47"/>
    <col min="8431" max="8431" width="8.5703125" style="47" bestFit="1" customWidth="1"/>
    <col min="8432" max="8432" width="9.5703125" style="47" customWidth="1"/>
    <col min="8433" max="8436" width="8.5703125" style="47" bestFit="1" customWidth="1"/>
    <col min="8437" max="8439" width="9.5703125" style="47" bestFit="1" customWidth="1"/>
    <col min="8440" max="8680" width="8.85546875" style="47"/>
    <col min="8681" max="8681" width="1.7109375" style="47" customWidth="1"/>
    <col min="8682" max="8682" width="18" style="47" customWidth="1"/>
    <col min="8683" max="8683" width="13.5703125" style="47" bestFit="1" customWidth="1"/>
    <col min="8684" max="8684" width="13.28515625" style="47" bestFit="1" customWidth="1"/>
    <col min="8685" max="8685" width="12.7109375" style="47" bestFit="1" customWidth="1"/>
    <col min="8686" max="8686" width="8.85546875" style="47"/>
    <col min="8687" max="8687" width="8.5703125" style="47" bestFit="1" customWidth="1"/>
    <col min="8688" max="8688" width="9.5703125" style="47" customWidth="1"/>
    <col min="8689" max="8692" width="8.5703125" style="47" bestFit="1" customWidth="1"/>
    <col min="8693" max="8695" width="9.5703125" style="47" bestFit="1" customWidth="1"/>
    <col min="8696" max="8936" width="8.85546875" style="47"/>
    <col min="8937" max="8937" width="1.7109375" style="47" customWidth="1"/>
    <col min="8938" max="8938" width="18" style="47" customWidth="1"/>
    <col min="8939" max="8939" width="13.5703125" style="47" bestFit="1" customWidth="1"/>
    <col min="8940" max="8940" width="13.28515625" style="47" bestFit="1" customWidth="1"/>
    <col min="8941" max="8941" width="12.7109375" style="47" bestFit="1" customWidth="1"/>
    <col min="8942" max="8942" width="8.85546875" style="47"/>
    <col min="8943" max="8943" width="8.5703125" style="47" bestFit="1" customWidth="1"/>
    <col min="8944" max="8944" width="9.5703125" style="47" customWidth="1"/>
    <col min="8945" max="8948" width="8.5703125" style="47" bestFit="1" customWidth="1"/>
    <col min="8949" max="8951" width="9.5703125" style="47" bestFit="1" customWidth="1"/>
    <col min="8952" max="9192" width="8.85546875" style="47"/>
    <col min="9193" max="9193" width="1.7109375" style="47" customWidth="1"/>
    <col min="9194" max="9194" width="18" style="47" customWidth="1"/>
    <col min="9195" max="9195" width="13.5703125" style="47" bestFit="1" customWidth="1"/>
    <col min="9196" max="9196" width="13.28515625" style="47" bestFit="1" customWidth="1"/>
    <col min="9197" max="9197" width="12.7109375" style="47" bestFit="1" customWidth="1"/>
    <col min="9198" max="9198" width="8.85546875" style="47"/>
    <col min="9199" max="9199" width="8.5703125" style="47" bestFit="1" customWidth="1"/>
    <col min="9200" max="9200" width="9.5703125" style="47" customWidth="1"/>
    <col min="9201" max="9204" width="8.5703125" style="47" bestFit="1" customWidth="1"/>
    <col min="9205" max="9207" width="9.5703125" style="47" bestFit="1" customWidth="1"/>
    <col min="9208" max="9448" width="8.85546875" style="47"/>
    <col min="9449" max="9449" width="1.7109375" style="47" customWidth="1"/>
    <col min="9450" max="9450" width="18" style="47" customWidth="1"/>
    <col min="9451" max="9451" width="13.5703125" style="47" bestFit="1" customWidth="1"/>
    <col min="9452" max="9452" width="13.28515625" style="47" bestFit="1" customWidth="1"/>
    <col min="9453" max="9453" width="12.7109375" style="47" bestFit="1" customWidth="1"/>
    <col min="9454" max="9454" width="8.85546875" style="47"/>
    <col min="9455" max="9455" width="8.5703125" style="47" bestFit="1" customWidth="1"/>
    <col min="9456" max="9456" width="9.5703125" style="47" customWidth="1"/>
    <col min="9457" max="9460" width="8.5703125" style="47" bestFit="1" customWidth="1"/>
    <col min="9461" max="9463" width="9.5703125" style="47" bestFit="1" customWidth="1"/>
    <col min="9464" max="9704" width="8.85546875" style="47"/>
    <col min="9705" max="9705" width="1.7109375" style="47" customWidth="1"/>
    <col min="9706" max="9706" width="18" style="47" customWidth="1"/>
    <col min="9707" max="9707" width="13.5703125" style="47" bestFit="1" customWidth="1"/>
    <col min="9708" max="9708" width="13.28515625" style="47" bestFit="1" customWidth="1"/>
    <col min="9709" max="9709" width="12.7109375" style="47" bestFit="1" customWidth="1"/>
    <col min="9710" max="9710" width="8.85546875" style="47"/>
    <col min="9711" max="9711" width="8.5703125" style="47" bestFit="1" customWidth="1"/>
    <col min="9712" max="9712" width="9.5703125" style="47" customWidth="1"/>
    <col min="9713" max="9716" width="8.5703125" style="47" bestFit="1" customWidth="1"/>
    <col min="9717" max="9719" width="9.5703125" style="47" bestFit="1" customWidth="1"/>
    <col min="9720" max="9960" width="8.85546875" style="47"/>
    <col min="9961" max="9961" width="1.7109375" style="47" customWidth="1"/>
    <col min="9962" max="9962" width="18" style="47" customWidth="1"/>
    <col min="9963" max="9963" width="13.5703125" style="47" bestFit="1" customWidth="1"/>
    <col min="9964" max="9964" width="13.28515625" style="47" bestFit="1" customWidth="1"/>
    <col min="9965" max="9965" width="12.7109375" style="47" bestFit="1" customWidth="1"/>
    <col min="9966" max="9966" width="8.85546875" style="47"/>
    <col min="9967" max="9967" width="8.5703125" style="47" bestFit="1" customWidth="1"/>
    <col min="9968" max="9968" width="9.5703125" style="47" customWidth="1"/>
    <col min="9969" max="9972" width="8.5703125" style="47" bestFit="1" customWidth="1"/>
    <col min="9973" max="9975" width="9.5703125" style="47" bestFit="1" customWidth="1"/>
    <col min="9976" max="10216" width="8.85546875" style="47"/>
    <col min="10217" max="10217" width="1.7109375" style="47" customWidth="1"/>
    <col min="10218" max="10218" width="18" style="47" customWidth="1"/>
    <col min="10219" max="10219" width="13.5703125" style="47" bestFit="1" customWidth="1"/>
    <col min="10220" max="10220" width="13.28515625" style="47" bestFit="1" customWidth="1"/>
    <col min="10221" max="10221" width="12.7109375" style="47" bestFit="1" customWidth="1"/>
    <col min="10222" max="10222" width="8.85546875" style="47"/>
    <col min="10223" max="10223" width="8.5703125" style="47" bestFit="1" customWidth="1"/>
    <col min="10224" max="10224" width="9.5703125" style="47" customWidth="1"/>
    <col min="10225" max="10228" width="8.5703125" style="47" bestFit="1" customWidth="1"/>
    <col min="10229" max="10231" width="9.5703125" style="47" bestFit="1" customWidth="1"/>
    <col min="10232" max="10472" width="8.85546875" style="47"/>
    <col min="10473" max="10473" width="1.7109375" style="47" customWidth="1"/>
    <col min="10474" max="10474" width="18" style="47" customWidth="1"/>
    <col min="10475" max="10475" width="13.5703125" style="47" bestFit="1" customWidth="1"/>
    <col min="10476" max="10476" width="13.28515625" style="47" bestFit="1" customWidth="1"/>
    <col min="10477" max="10477" width="12.7109375" style="47" bestFit="1" customWidth="1"/>
    <col min="10478" max="10478" width="8.85546875" style="47"/>
    <col min="10479" max="10479" width="8.5703125" style="47" bestFit="1" customWidth="1"/>
    <col min="10480" max="10480" width="9.5703125" style="47" customWidth="1"/>
    <col min="10481" max="10484" width="8.5703125" style="47" bestFit="1" customWidth="1"/>
    <col min="10485" max="10487" width="9.5703125" style="47" bestFit="1" customWidth="1"/>
    <col min="10488" max="10728" width="8.85546875" style="47"/>
    <col min="10729" max="10729" width="1.7109375" style="47" customWidth="1"/>
    <col min="10730" max="10730" width="18" style="47" customWidth="1"/>
    <col min="10731" max="10731" width="13.5703125" style="47" bestFit="1" customWidth="1"/>
    <col min="10732" max="10732" width="13.28515625" style="47" bestFit="1" customWidth="1"/>
    <col min="10733" max="10733" width="12.7109375" style="47" bestFit="1" customWidth="1"/>
    <col min="10734" max="10734" width="8.85546875" style="47"/>
    <col min="10735" max="10735" width="8.5703125" style="47" bestFit="1" customWidth="1"/>
    <col min="10736" max="10736" width="9.5703125" style="47" customWidth="1"/>
    <col min="10737" max="10740" width="8.5703125" style="47" bestFit="1" customWidth="1"/>
    <col min="10741" max="10743" width="9.5703125" style="47" bestFit="1" customWidth="1"/>
    <col min="10744" max="10984" width="8.85546875" style="47"/>
    <col min="10985" max="10985" width="1.7109375" style="47" customWidth="1"/>
    <col min="10986" max="10986" width="18" style="47" customWidth="1"/>
    <col min="10987" max="10987" width="13.5703125" style="47" bestFit="1" customWidth="1"/>
    <col min="10988" max="10988" width="13.28515625" style="47" bestFit="1" customWidth="1"/>
    <col min="10989" max="10989" width="12.7109375" style="47" bestFit="1" customWidth="1"/>
    <col min="10990" max="10990" width="8.85546875" style="47"/>
    <col min="10991" max="10991" width="8.5703125" style="47" bestFit="1" customWidth="1"/>
    <col min="10992" max="10992" width="9.5703125" style="47" customWidth="1"/>
    <col min="10993" max="10996" width="8.5703125" style="47" bestFit="1" customWidth="1"/>
    <col min="10997" max="10999" width="9.5703125" style="47" bestFit="1" customWidth="1"/>
    <col min="11000" max="11240" width="8.85546875" style="47"/>
    <col min="11241" max="11241" width="1.7109375" style="47" customWidth="1"/>
    <col min="11242" max="11242" width="18" style="47" customWidth="1"/>
    <col min="11243" max="11243" width="13.5703125" style="47" bestFit="1" customWidth="1"/>
    <col min="11244" max="11244" width="13.28515625" style="47" bestFit="1" customWidth="1"/>
    <col min="11245" max="11245" width="12.7109375" style="47" bestFit="1" customWidth="1"/>
    <col min="11246" max="11246" width="8.85546875" style="47"/>
    <col min="11247" max="11247" width="8.5703125" style="47" bestFit="1" customWidth="1"/>
    <col min="11248" max="11248" width="9.5703125" style="47" customWidth="1"/>
    <col min="11249" max="11252" width="8.5703125" style="47" bestFit="1" customWidth="1"/>
    <col min="11253" max="11255" width="9.5703125" style="47" bestFit="1" customWidth="1"/>
    <col min="11256" max="11496" width="8.85546875" style="47"/>
    <col min="11497" max="11497" width="1.7109375" style="47" customWidth="1"/>
    <col min="11498" max="11498" width="18" style="47" customWidth="1"/>
    <col min="11499" max="11499" width="13.5703125" style="47" bestFit="1" customWidth="1"/>
    <col min="11500" max="11500" width="13.28515625" style="47" bestFit="1" customWidth="1"/>
    <col min="11501" max="11501" width="12.7109375" style="47" bestFit="1" customWidth="1"/>
    <col min="11502" max="11502" width="8.85546875" style="47"/>
    <col min="11503" max="11503" width="8.5703125" style="47" bestFit="1" customWidth="1"/>
    <col min="11504" max="11504" width="9.5703125" style="47" customWidth="1"/>
    <col min="11505" max="11508" width="8.5703125" style="47" bestFit="1" customWidth="1"/>
    <col min="11509" max="11511" width="9.5703125" style="47" bestFit="1" customWidth="1"/>
    <col min="11512" max="11752" width="8.85546875" style="47"/>
    <col min="11753" max="11753" width="1.7109375" style="47" customWidth="1"/>
    <col min="11754" max="11754" width="18" style="47" customWidth="1"/>
    <col min="11755" max="11755" width="13.5703125" style="47" bestFit="1" customWidth="1"/>
    <col min="11756" max="11756" width="13.28515625" style="47" bestFit="1" customWidth="1"/>
    <col min="11757" max="11757" width="12.7109375" style="47" bestFit="1" customWidth="1"/>
    <col min="11758" max="11758" width="8.85546875" style="47"/>
    <col min="11759" max="11759" width="8.5703125" style="47" bestFit="1" customWidth="1"/>
    <col min="11760" max="11760" width="9.5703125" style="47" customWidth="1"/>
    <col min="11761" max="11764" width="8.5703125" style="47" bestFit="1" customWidth="1"/>
    <col min="11765" max="11767" width="9.5703125" style="47" bestFit="1" customWidth="1"/>
    <col min="11768" max="12008" width="8.85546875" style="47"/>
    <col min="12009" max="12009" width="1.7109375" style="47" customWidth="1"/>
    <col min="12010" max="12010" width="18" style="47" customWidth="1"/>
    <col min="12011" max="12011" width="13.5703125" style="47" bestFit="1" customWidth="1"/>
    <col min="12012" max="12012" width="13.28515625" style="47" bestFit="1" customWidth="1"/>
    <col min="12013" max="12013" width="12.7109375" style="47" bestFit="1" customWidth="1"/>
    <col min="12014" max="12014" width="8.85546875" style="47"/>
    <col min="12015" max="12015" width="8.5703125" style="47" bestFit="1" customWidth="1"/>
    <col min="12016" max="12016" width="9.5703125" style="47" customWidth="1"/>
    <col min="12017" max="12020" width="8.5703125" style="47" bestFit="1" customWidth="1"/>
    <col min="12021" max="12023" width="9.5703125" style="47" bestFit="1" customWidth="1"/>
    <col min="12024" max="12264" width="8.85546875" style="47"/>
    <col min="12265" max="12265" width="1.7109375" style="47" customWidth="1"/>
    <col min="12266" max="12266" width="18" style="47" customWidth="1"/>
    <col min="12267" max="12267" width="13.5703125" style="47" bestFit="1" customWidth="1"/>
    <col min="12268" max="12268" width="13.28515625" style="47" bestFit="1" customWidth="1"/>
    <col min="12269" max="12269" width="12.7109375" style="47" bestFit="1" customWidth="1"/>
    <col min="12270" max="12270" width="8.85546875" style="47"/>
    <col min="12271" max="12271" width="8.5703125" style="47" bestFit="1" customWidth="1"/>
    <col min="12272" max="12272" width="9.5703125" style="47" customWidth="1"/>
    <col min="12273" max="12276" width="8.5703125" style="47" bestFit="1" customWidth="1"/>
    <col min="12277" max="12279" width="9.5703125" style="47" bestFit="1" customWidth="1"/>
    <col min="12280" max="12520" width="8.85546875" style="47"/>
    <col min="12521" max="12521" width="1.7109375" style="47" customWidth="1"/>
    <col min="12522" max="12522" width="18" style="47" customWidth="1"/>
    <col min="12523" max="12523" width="13.5703125" style="47" bestFit="1" customWidth="1"/>
    <col min="12524" max="12524" width="13.28515625" style="47" bestFit="1" customWidth="1"/>
    <col min="12525" max="12525" width="12.7109375" style="47" bestFit="1" customWidth="1"/>
    <col min="12526" max="12526" width="8.85546875" style="47"/>
    <col min="12527" max="12527" width="8.5703125" style="47" bestFit="1" customWidth="1"/>
    <col min="12528" max="12528" width="9.5703125" style="47" customWidth="1"/>
    <col min="12529" max="12532" width="8.5703125" style="47" bestFit="1" customWidth="1"/>
    <col min="12533" max="12535" width="9.5703125" style="47" bestFit="1" customWidth="1"/>
    <col min="12536" max="12776" width="8.85546875" style="47"/>
    <col min="12777" max="12777" width="1.7109375" style="47" customWidth="1"/>
    <col min="12778" max="12778" width="18" style="47" customWidth="1"/>
    <col min="12779" max="12779" width="13.5703125" style="47" bestFit="1" customWidth="1"/>
    <col min="12780" max="12780" width="13.28515625" style="47" bestFit="1" customWidth="1"/>
    <col min="12781" max="12781" width="12.7109375" style="47" bestFit="1" customWidth="1"/>
    <col min="12782" max="12782" width="8.85546875" style="47"/>
    <col min="12783" max="12783" width="8.5703125" style="47" bestFit="1" customWidth="1"/>
    <col min="12784" max="12784" width="9.5703125" style="47" customWidth="1"/>
    <col min="12785" max="12788" width="8.5703125" style="47" bestFit="1" customWidth="1"/>
    <col min="12789" max="12791" width="9.5703125" style="47" bestFit="1" customWidth="1"/>
    <col min="12792" max="13032" width="8.85546875" style="47"/>
    <col min="13033" max="13033" width="1.7109375" style="47" customWidth="1"/>
    <col min="13034" max="13034" width="18" style="47" customWidth="1"/>
    <col min="13035" max="13035" width="13.5703125" style="47" bestFit="1" customWidth="1"/>
    <col min="13036" max="13036" width="13.28515625" style="47" bestFit="1" customWidth="1"/>
    <col min="13037" max="13037" width="12.7109375" style="47" bestFit="1" customWidth="1"/>
    <col min="13038" max="13038" width="8.85546875" style="47"/>
    <col min="13039" max="13039" width="8.5703125" style="47" bestFit="1" customWidth="1"/>
    <col min="13040" max="13040" width="9.5703125" style="47" customWidth="1"/>
    <col min="13041" max="13044" width="8.5703125" style="47" bestFit="1" customWidth="1"/>
    <col min="13045" max="13047" width="9.5703125" style="47" bestFit="1" customWidth="1"/>
    <col min="13048" max="13288" width="8.85546875" style="47"/>
    <col min="13289" max="13289" width="1.7109375" style="47" customWidth="1"/>
    <col min="13290" max="13290" width="18" style="47" customWidth="1"/>
    <col min="13291" max="13291" width="13.5703125" style="47" bestFit="1" customWidth="1"/>
    <col min="13292" max="13292" width="13.28515625" style="47" bestFit="1" customWidth="1"/>
    <col min="13293" max="13293" width="12.7109375" style="47" bestFit="1" customWidth="1"/>
    <col min="13294" max="13294" width="8.85546875" style="47"/>
    <col min="13295" max="13295" width="8.5703125" style="47" bestFit="1" customWidth="1"/>
    <col min="13296" max="13296" width="9.5703125" style="47" customWidth="1"/>
    <col min="13297" max="13300" width="8.5703125" style="47" bestFit="1" customWidth="1"/>
    <col min="13301" max="13303" width="9.5703125" style="47" bestFit="1" customWidth="1"/>
    <col min="13304" max="13544" width="8.85546875" style="47"/>
    <col min="13545" max="13545" width="1.7109375" style="47" customWidth="1"/>
    <col min="13546" max="13546" width="18" style="47" customWidth="1"/>
    <col min="13547" max="13547" width="13.5703125" style="47" bestFit="1" customWidth="1"/>
    <col min="13548" max="13548" width="13.28515625" style="47" bestFit="1" customWidth="1"/>
    <col min="13549" max="13549" width="12.7109375" style="47" bestFit="1" customWidth="1"/>
    <col min="13550" max="13550" width="8.85546875" style="47"/>
    <col min="13551" max="13551" width="8.5703125" style="47" bestFit="1" customWidth="1"/>
    <col min="13552" max="13552" width="9.5703125" style="47" customWidth="1"/>
    <col min="13553" max="13556" width="8.5703125" style="47" bestFit="1" customWidth="1"/>
    <col min="13557" max="13559" width="9.5703125" style="47" bestFit="1" customWidth="1"/>
    <col min="13560" max="13800" width="8.85546875" style="47"/>
    <col min="13801" max="13801" width="1.7109375" style="47" customWidth="1"/>
    <col min="13802" max="13802" width="18" style="47" customWidth="1"/>
    <col min="13803" max="13803" width="13.5703125" style="47" bestFit="1" customWidth="1"/>
    <col min="13804" max="13804" width="13.28515625" style="47" bestFit="1" customWidth="1"/>
    <col min="13805" max="13805" width="12.7109375" style="47" bestFit="1" customWidth="1"/>
    <col min="13806" max="13806" width="8.85546875" style="47"/>
    <col min="13807" max="13807" width="8.5703125" style="47" bestFit="1" customWidth="1"/>
    <col min="13808" max="13808" width="9.5703125" style="47" customWidth="1"/>
    <col min="13809" max="13812" width="8.5703125" style="47" bestFit="1" customWidth="1"/>
    <col min="13813" max="13815" width="9.5703125" style="47" bestFit="1" customWidth="1"/>
    <col min="13816" max="14056" width="8.85546875" style="47"/>
    <col min="14057" max="14057" width="1.7109375" style="47" customWidth="1"/>
    <col min="14058" max="14058" width="18" style="47" customWidth="1"/>
    <col min="14059" max="14059" width="13.5703125" style="47" bestFit="1" customWidth="1"/>
    <col min="14060" max="14060" width="13.28515625" style="47" bestFit="1" customWidth="1"/>
    <col min="14061" max="14061" width="12.7109375" style="47" bestFit="1" customWidth="1"/>
    <col min="14062" max="14062" width="8.85546875" style="47"/>
    <col min="14063" max="14063" width="8.5703125" style="47" bestFit="1" customWidth="1"/>
    <col min="14064" max="14064" width="9.5703125" style="47" customWidth="1"/>
    <col min="14065" max="14068" width="8.5703125" style="47" bestFit="1" customWidth="1"/>
    <col min="14069" max="14071" width="9.5703125" style="47" bestFit="1" customWidth="1"/>
    <col min="14072" max="14312" width="8.85546875" style="47"/>
    <col min="14313" max="14313" width="1.7109375" style="47" customWidth="1"/>
    <col min="14314" max="14314" width="18" style="47" customWidth="1"/>
    <col min="14315" max="14315" width="13.5703125" style="47" bestFit="1" customWidth="1"/>
    <col min="14316" max="14316" width="13.28515625" style="47" bestFit="1" customWidth="1"/>
    <col min="14317" max="14317" width="12.7109375" style="47" bestFit="1" customWidth="1"/>
    <col min="14318" max="14318" width="8.85546875" style="47"/>
    <col min="14319" max="14319" width="8.5703125" style="47" bestFit="1" customWidth="1"/>
    <col min="14320" max="14320" width="9.5703125" style="47" customWidth="1"/>
    <col min="14321" max="14324" width="8.5703125" style="47" bestFit="1" customWidth="1"/>
    <col min="14325" max="14327" width="9.5703125" style="47" bestFit="1" customWidth="1"/>
    <col min="14328" max="14568" width="8.85546875" style="47"/>
    <col min="14569" max="14569" width="1.7109375" style="47" customWidth="1"/>
    <col min="14570" max="14570" width="18" style="47" customWidth="1"/>
    <col min="14571" max="14571" width="13.5703125" style="47" bestFit="1" customWidth="1"/>
    <col min="14572" max="14572" width="13.28515625" style="47" bestFit="1" customWidth="1"/>
    <col min="14573" max="14573" width="12.7109375" style="47" bestFit="1" customWidth="1"/>
    <col min="14574" max="14574" width="8.85546875" style="47"/>
    <col min="14575" max="14575" width="8.5703125" style="47" bestFit="1" customWidth="1"/>
    <col min="14576" max="14576" width="9.5703125" style="47" customWidth="1"/>
    <col min="14577" max="14580" width="8.5703125" style="47" bestFit="1" customWidth="1"/>
    <col min="14581" max="14583" width="9.5703125" style="47" bestFit="1" customWidth="1"/>
    <col min="14584" max="14824" width="8.85546875" style="47"/>
    <col min="14825" max="14825" width="1.7109375" style="47" customWidth="1"/>
    <col min="14826" max="14826" width="18" style="47" customWidth="1"/>
    <col min="14827" max="14827" width="13.5703125" style="47" bestFit="1" customWidth="1"/>
    <col min="14828" max="14828" width="13.28515625" style="47" bestFit="1" customWidth="1"/>
    <col min="14829" max="14829" width="12.7109375" style="47" bestFit="1" customWidth="1"/>
    <col min="14830" max="14830" width="8.85546875" style="47"/>
    <col min="14831" max="14831" width="8.5703125" style="47" bestFit="1" customWidth="1"/>
    <col min="14832" max="14832" width="9.5703125" style="47" customWidth="1"/>
    <col min="14833" max="14836" width="8.5703125" style="47" bestFit="1" customWidth="1"/>
    <col min="14837" max="14839" width="9.5703125" style="47" bestFit="1" customWidth="1"/>
    <col min="14840" max="15080" width="8.85546875" style="47"/>
    <col min="15081" max="15081" width="1.7109375" style="47" customWidth="1"/>
    <col min="15082" max="15082" width="18" style="47" customWidth="1"/>
    <col min="15083" max="15083" width="13.5703125" style="47" bestFit="1" customWidth="1"/>
    <col min="15084" max="15084" width="13.28515625" style="47" bestFit="1" customWidth="1"/>
    <col min="15085" max="15085" width="12.7109375" style="47" bestFit="1" customWidth="1"/>
    <col min="15086" max="15086" width="8.85546875" style="47"/>
    <col min="15087" max="15087" width="8.5703125" style="47" bestFit="1" customWidth="1"/>
    <col min="15088" max="15088" width="9.5703125" style="47" customWidth="1"/>
    <col min="15089" max="15092" width="8.5703125" style="47" bestFit="1" customWidth="1"/>
    <col min="15093" max="15095" width="9.5703125" style="47" bestFit="1" customWidth="1"/>
    <col min="15096" max="15336" width="8.85546875" style="47"/>
    <col min="15337" max="15337" width="1.7109375" style="47" customWidth="1"/>
    <col min="15338" max="15338" width="18" style="47" customWidth="1"/>
    <col min="15339" max="15339" width="13.5703125" style="47" bestFit="1" customWidth="1"/>
    <col min="15340" max="15340" width="13.28515625" style="47" bestFit="1" customWidth="1"/>
    <col min="15341" max="15341" width="12.7109375" style="47" bestFit="1" customWidth="1"/>
    <col min="15342" max="15342" width="8.85546875" style="47"/>
    <col min="15343" max="15343" width="8.5703125" style="47" bestFit="1" customWidth="1"/>
    <col min="15344" max="15344" width="9.5703125" style="47" customWidth="1"/>
    <col min="15345" max="15348" width="8.5703125" style="47" bestFit="1" customWidth="1"/>
    <col min="15349" max="15351" width="9.5703125" style="47" bestFit="1" customWidth="1"/>
    <col min="15352" max="15592" width="8.85546875" style="47"/>
    <col min="15593" max="15593" width="1.7109375" style="47" customWidth="1"/>
    <col min="15594" max="15594" width="18" style="47" customWidth="1"/>
    <col min="15595" max="15595" width="13.5703125" style="47" bestFit="1" customWidth="1"/>
    <col min="15596" max="15596" width="13.28515625" style="47" bestFit="1" customWidth="1"/>
    <col min="15597" max="15597" width="12.7109375" style="47" bestFit="1" customWidth="1"/>
    <col min="15598" max="15598" width="8.85546875" style="47"/>
    <col min="15599" max="15599" width="8.5703125" style="47" bestFit="1" customWidth="1"/>
    <col min="15600" max="15600" width="9.5703125" style="47" customWidth="1"/>
    <col min="15601" max="15604" width="8.5703125" style="47" bestFit="1" customWidth="1"/>
    <col min="15605" max="15607" width="9.5703125" style="47" bestFit="1" customWidth="1"/>
    <col min="15608" max="15848" width="8.85546875" style="47"/>
    <col min="15849" max="15849" width="1.7109375" style="47" customWidth="1"/>
    <col min="15850" max="15850" width="18" style="47" customWidth="1"/>
    <col min="15851" max="15851" width="13.5703125" style="47" bestFit="1" customWidth="1"/>
    <col min="15852" max="15852" width="13.28515625" style="47" bestFit="1" customWidth="1"/>
    <col min="15853" max="15853" width="12.7109375" style="47" bestFit="1" customWidth="1"/>
    <col min="15854" max="15854" width="8.85546875" style="47"/>
    <col min="15855" max="15855" width="8.5703125" style="47" bestFit="1" customWidth="1"/>
    <col min="15856" max="15856" width="9.5703125" style="47" customWidth="1"/>
    <col min="15857" max="15860" width="8.5703125" style="47" bestFit="1" customWidth="1"/>
    <col min="15861" max="15863" width="9.5703125" style="47" bestFit="1" customWidth="1"/>
    <col min="15864" max="16104" width="8.85546875" style="47"/>
    <col min="16105" max="16105" width="1.7109375" style="47" customWidth="1"/>
    <col min="16106" max="16106" width="18" style="47" customWidth="1"/>
    <col min="16107" max="16107" width="13.5703125" style="47" bestFit="1" customWidth="1"/>
    <col min="16108" max="16108" width="13.28515625" style="47" bestFit="1" customWidth="1"/>
    <col min="16109" max="16109" width="12.7109375" style="47" bestFit="1" customWidth="1"/>
    <col min="16110" max="16110" width="8.85546875" style="47"/>
    <col min="16111" max="16111" width="8.5703125" style="47" bestFit="1" customWidth="1"/>
    <col min="16112" max="16112" width="9.5703125" style="47" customWidth="1"/>
    <col min="16113" max="16116" width="8.5703125" style="47" bestFit="1" customWidth="1"/>
    <col min="16117" max="16119" width="9.5703125" style="47" bestFit="1" customWidth="1"/>
    <col min="16120" max="16360" width="8.85546875" style="47"/>
    <col min="16361" max="16384" width="8.85546875" style="47" customWidth="1"/>
  </cols>
  <sheetData>
    <row r="2" spans="2:9" ht="15.75">
      <c r="B2" s="29" t="s">
        <v>144</v>
      </c>
      <c r="C2"/>
      <c r="D2"/>
      <c r="E2"/>
      <c r="F2"/>
      <c r="G2"/>
      <c r="H2"/>
      <c r="I2"/>
    </row>
    <row r="3" spans="2:9">
      <c r="B3" s="31" t="s">
        <v>143</v>
      </c>
      <c r="C3"/>
      <c r="D3"/>
      <c r="E3"/>
      <c r="F3"/>
      <c r="G3"/>
      <c r="H3"/>
      <c r="I3"/>
    </row>
    <row r="4" spans="2:9" ht="51">
      <c r="B4" s="78" t="s">
        <v>61</v>
      </c>
      <c r="C4" s="78" t="s">
        <v>130</v>
      </c>
      <c r="D4" s="78" t="s">
        <v>139</v>
      </c>
      <c r="E4" s="78" t="s">
        <v>131</v>
      </c>
      <c r="F4" s="78" t="s">
        <v>132</v>
      </c>
      <c r="G4" s="78" t="s">
        <v>133</v>
      </c>
      <c r="H4" s="78" t="s">
        <v>58</v>
      </c>
      <c r="I4"/>
    </row>
    <row r="5" spans="2:9">
      <c r="B5" s="94" t="s">
        <v>65</v>
      </c>
      <c r="C5" s="79">
        <f>NPER(D5/VLOOKUP(B5,Period,2,FALSE),F5,E5,G5,H5)</f>
        <v>23.158109021776212</v>
      </c>
      <c r="D5" s="96">
        <v>0.15</v>
      </c>
      <c r="E5" s="131">
        <v>-10000</v>
      </c>
      <c r="F5" s="97">
        <v>500</v>
      </c>
      <c r="G5" s="98">
        <v>0</v>
      </c>
      <c r="H5" s="81">
        <v>0</v>
      </c>
      <c r="I5"/>
    </row>
    <row r="6" spans="2:9">
      <c r="B6" s="94" t="s">
        <v>65</v>
      </c>
      <c r="C6" s="95">
        <v>120</v>
      </c>
      <c r="D6" s="88">
        <f>RATE(C6,F6,E6,G6,H6)*VLOOKUP(B6,Period,2,FALSE)</f>
        <v>0.15427957058413272</v>
      </c>
      <c r="E6" s="131">
        <v>-35000</v>
      </c>
      <c r="F6" s="97">
        <v>573.88</v>
      </c>
      <c r="G6" s="98">
        <v>0</v>
      </c>
      <c r="H6" s="81">
        <v>0</v>
      </c>
      <c r="I6"/>
    </row>
    <row r="7" spans="2:9">
      <c r="B7" s="94" t="s">
        <v>65</v>
      </c>
      <c r="C7" s="95">
        <v>360</v>
      </c>
      <c r="D7" s="96">
        <v>0.12</v>
      </c>
      <c r="E7" s="91">
        <f>PV(D7/VLOOKUP(B7,Period,2,FALSE),C7,F7,G7,H7)</f>
        <v>-9721.8331079064501</v>
      </c>
      <c r="F7" s="97">
        <v>100</v>
      </c>
      <c r="G7" s="98">
        <v>0</v>
      </c>
      <c r="H7" s="81">
        <v>0</v>
      </c>
      <c r="I7"/>
    </row>
    <row r="8" spans="2:9">
      <c r="B8" s="94" t="s">
        <v>65</v>
      </c>
      <c r="C8" s="95">
        <v>360</v>
      </c>
      <c r="D8" s="96">
        <v>0.12</v>
      </c>
      <c r="E8" s="131">
        <v>-100000</v>
      </c>
      <c r="F8" s="80">
        <f>PMT(D8/VLOOKUP(B8,Period,2,FALSE),C8,E8,G8,H8)</f>
        <v>1028.6125969255042</v>
      </c>
      <c r="G8" s="98">
        <v>0</v>
      </c>
      <c r="H8" s="81">
        <v>0</v>
      </c>
      <c r="I8"/>
    </row>
    <row r="9" spans="2:9">
      <c r="B9" s="94" t="s">
        <v>65</v>
      </c>
      <c r="C9" s="95">
        <v>60</v>
      </c>
      <c r="D9" s="96">
        <v>0.14000000000000001</v>
      </c>
      <c r="E9" s="131">
        <v>-75000</v>
      </c>
      <c r="F9" s="97">
        <v>1000</v>
      </c>
      <c r="G9" s="49">
        <f>FV(D9/VLOOKUP(B9,Period,2,FALSE),C9,F9,E9,H9)</f>
        <v>64225.609362368748</v>
      </c>
      <c r="H9" s="81">
        <v>0</v>
      </c>
      <c r="I9"/>
    </row>
    <row r="13" spans="2:9" ht="15.75">
      <c r="B13" s="29" t="str">
        <f>"Net Present Value of "&amp;COUNT(B19:Z19)&amp;" Monthly Payments"</f>
        <v>Net Present Value of 12 Monthly Payments</v>
      </c>
    </row>
    <row r="14" spans="2:9" ht="38.25">
      <c r="B14" s="84" t="s">
        <v>142</v>
      </c>
      <c r="C14" s="84" t="s">
        <v>141</v>
      </c>
    </row>
    <row r="15" spans="2:9">
      <c r="B15" s="96">
        <v>0.12</v>
      </c>
      <c r="C15" s="99">
        <v>-4500</v>
      </c>
      <c r="D15" s="47" t="s">
        <v>60</v>
      </c>
    </row>
    <row r="16" spans="2:9">
      <c r="B16"/>
      <c r="C16"/>
    </row>
    <row r="17" spans="2:25">
      <c r="B17" s="47">
        <v>1</v>
      </c>
      <c r="C17" s="47">
        <f>B17+1</f>
        <v>2</v>
      </c>
      <c r="D17" s="47">
        <f t="shared" ref="D17:W17" si="0">C17+1</f>
        <v>3</v>
      </c>
      <c r="E17" s="47">
        <f t="shared" si="0"/>
        <v>4</v>
      </c>
      <c r="F17" s="47">
        <f t="shared" si="0"/>
        <v>5</v>
      </c>
      <c r="G17" s="47">
        <f t="shared" si="0"/>
        <v>6</v>
      </c>
      <c r="H17" s="47">
        <f t="shared" si="0"/>
        <v>7</v>
      </c>
      <c r="I17" s="47">
        <f t="shared" si="0"/>
        <v>8</v>
      </c>
      <c r="J17" s="47">
        <f t="shared" si="0"/>
        <v>9</v>
      </c>
      <c r="K17" s="47">
        <f t="shared" si="0"/>
        <v>10</v>
      </c>
      <c r="L17" s="47">
        <f t="shared" si="0"/>
        <v>11</v>
      </c>
      <c r="M17" s="47">
        <f t="shared" si="0"/>
        <v>12</v>
      </c>
      <c r="N17" s="47">
        <f t="shared" si="0"/>
        <v>13</v>
      </c>
      <c r="O17" s="47">
        <f t="shared" si="0"/>
        <v>14</v>
      </c>
      <c r="P17" s="47">
        <f t="shared" si="0"/>
        <v>15</v>
      </c>
      <c r="Q17" s="47">
        <f t="shared" si="0"/>
        <v>16</v>
      </c>
      <c r="R17" s="47">
        <f t="shared" si="0"/>
        <v>17</v>
      </c>
      <c r="S17" s="47">
        <f t="shared" si="0"/>
        <v>18</v>
      </c>
      <c r="T17" s="47">
        <f t="shared" si="0"/>
        <v>19</v>
      </c>
      <c r="U17" s="47">
        <f t="shared" si="0"/>
        <v>20</v>
      </c>
      <c r="V17" s="47">
        <f t="shared" si="0"/>
        <v>21</v>
      </c>
      <c r="W17" s="47">
        <f t="shared" si="0"/>
        <v>22</v>
      </c>
      <c r="X17" s="47">
        <f t="shared" ref="X17:Y17" si="1">W17+1</f>
        <v>23</v>
      </c>
      <c r="Y17" s="47">
        <f t="shared" si="1"/>
        <v>24</v>
      </c>
    </row>
    <row r="18" spans="2:25">
      <c r="B18" s="48" t="str">
        <f>"Month"&amp;B17</f>
        <v>Month1</v>
      </c>
      <c r="C18" s="48" t="str">
        <f t="shared" ref="C18:M18" si="2">"Month"&amp;C17</f>
        <v>Month2</v>
      </c>
      <c r="D18" s="48" t="str">
        <f t="shared" si="2"/>
        <v>Month3</v>
      </c>
      <c r="E18" s="48" t="str">
        <f t="shared" si="2"/>
        <v>Month4</v>
      </c>
      <c r="F18" s="48" t="str">
        <f t="shared" si="2"/>
        <v>Month5</v>
      </c>
      <c r="G18" s="48" t="str">
        <f t="shared" si="2"/>
        <v>Month6</v>
      </c>
      <c r="H18" s="48" t="str">
        <f t="shared" si="2"/>
        <v>Month7</v>
      </c>
      <c r="I18" s="48" t="str">
        <f t="shared" si="2"/>
        <v>Month8</v>
      </c>
      <c r="J18" s="48" t="str">
        <f t="shared" si="2"/>
        <v>Month9</v>
      </c>
      <c r="K18" s="48" t="str">
        <f t="shared" si="2"/>
        <v>Month10</v>
      </c>
      <c r="L18" s="48" t="str">
        <f t="shared" si="2"/>
        <v>Month11</v>
      </c>
      <c r="M18" s="48" t="str">
        <f t="shared" si="2"/>
        <v>Month12</v>
      </c>
      <c r="N18" s="48" t="str">
        <f>"Month"&amp;N17</f>
        <v>Month13</v>
      </c>
      <c r="O18" s="48" t="str">
        <f t="shared" ref="O18" si="3">"Month"&amp;O17</f>
        <v>Month14</v>
      </c>
      <c r="P18" s="48" t="str">
        <f t="shared" ref="P18" si="4">"Month"&amp;P17</f>
        <v>Month15</v>
      </c>
      <c r="Q18" s="48" t="str">
        <f t="shared" ref="Q18" si="5">"Month"&amp;Q17</f>
        <v>Month16</v>
      </c>
      <c r="R18" s="48" t="str">
        <f t="shared" ref="R18" si="6">"Month"&amp;R17</f>
        <v>Month17</v>
      </c>
      <c r="S18" s="48" t="str">
        <f t="shared" ref="S18" si="7">"Month"&amp;S17</f>
        <v>Month18</v>
      </c>
      <c r="T18" s="48" t="str">
        <f t="shared" ref="T18" si="8">"Month"&amp;T17</f>
        <v>Month19</v>
      </c>
      <c r="U18" s="48" t="str">
        <f t="shared" ref="U18" si="9">"Month"&amp;U17</f>
        <v>Month20</v>
      </c>
      <c r="V18" s="48" t="str">
        <f t="shared" ref="V18" si="10">"Month"&amp;V17</f>
        <v>Month21</v>
      </c>
      <c r="W18" s="48" t="str">
        <f t="shared" ref="W18" si="11">"Month"&amp;W17</f>
        <v>Month22</v>
      </c>
      <c r="X18" s="48" t="str">
        <f t="shared" ref="X18" si="12">"Month"&amp;X17</f>
        <v>Month23</v>
      </c>
      <c r="Y18" s="48" t="str">
        <f t="shared" ref="Y18" si="13">"Month"&amp;Y17</f>
        <v>Month24</v>
      </c>
    </row>
    <row r="19" spans="2:25">
      <c r="B19" s="101">
        <v>400</v>
      </c>
      <c r="C19" s="101">
        <v>400</v>
      </c>
      <c r="D19" s="101">
        <v>400</v>
      </c>
      <c r="E19" s="101">
        <v>400</v>
      </c>
      <c r="F19" s="101">
        <v>400</v>
      </c>
      <c r="G19" s="101">
        <v>400</v>
      </c>
      <c r="H19" s="101">
        <v>400</v>
      </c>
      <c r="I19" s="101">
        <v>400</v>
      </c>
      <c r="J19" s="101">
        <v>400</v>
      </c>
      <c r="K19" s="101">
        <v>400</v>
      </c>
      <c r="L19" s="101">
        <v>400</v>
      </c>
      <c r="M19" s="101">
        <v>400</v>
      </c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</row>
    <row r="20" spans="2:25">
      <c r="B20"/>
    </row>
    <row r="21" spans="2:25">
      <c r="B21" s="90" t="s">
        <v>136</v>
      </c>
      <c r="C21" s="87">
        <f ca="1">NPV(B15/12,OFFSET(B19,0,0,1,COUNT(B19:V19)))</f>
        <v>4502.0309893938529</v>
      </c>
    </row>
    <row r="22" spans="2:25" ht="38.25">
      <c r="B22" s="89" t="s">
        <v>59</v>
      </c>
      <c r="C22" s="92">
        <f>C15</f>
        <v>-4500</v>
      </c>
    </row>
    <row r="23" spans="2:25">
      <c r="B23" s="86" t="s">
        <v>137</v>
      </c>
      <c r="C23" s="85">
        <f ca="1">SUM(C21:C22)</f>
        <v>2.0309893938529058</v>
      </c>
    </row>
    <row r="24" spans="2:25">
      <c r="B24" s="47" t="s">
        <v>138</v>
      </c>
      <c r="D24" s="50"/>
    </row>
    <row r="25" spans="2:25">
      <c r="B25" s="47" t="s">
        <v>152</v>
      </c>
      <c r="D25" s="50"/>
    </row>
    <row r="26" spans="2:25">
      <c r="D26" s="50"/>
    </row>
    <row r="27" spans="2:25" ht="18">
      <c r="B27" s="127" t="s">
        <v>140</v>
      </c>
    </row>
    <row r="28" spans="2:25">
      <c r="B28" s="125" t="s">
        <v>173</v>
      </c>
      <c r="C28" s="126"/>
      <c r="D28" s="126"/>
      <c r="E28" s="126"/>
      <c r="F28" s="126"/>
    </row>
  </sheetData>
  <dataValidations disablePrompts="1" count="1">
    <dataValidation type="list" allowBlank="1" showInputMessage="1" showErrorMessage="1" sqref="B5:B9">
      <formula1>PdDescr</formula1>
    </dataValidation>
  </dataValidations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showGridLines="0" workbookViewId="0">
      <selection activeCell="E4" sqref="E4"/>
    </sheetView>
  </sheetViews>
  <sheetFormatPr defaultRowHeight="12.75"/>
  <cols>
    <col min="2" max="2" width="10.85546875" bestFit="1" customWidth="1"/>
    <col min="3" max="10" width="12.7109375" customWidth="1"/>
    <col min="11" max="11" width="10.7109375" bestFit="1" customWidth="1"/>
  </cols>
  <sheetData>
    <row r="1" spans="2:16" ht="5.0999999999999996" customHeight="1"/>
    <row r="2" spans="2:16" ht="18">
      <c r="B2" s="3" t="str">
        <f>"Monthly Payment Table Per "&amp;TEXT(B4,"$0,000")&amp;" of Fully Amortized Loan"</f>
        <v>Monthly Payment Table Per $100,000 of Fully Amortized Loan</v>
      </c>
      <c r="C2" s="9"/>
      <c r="D2" s="9"/>
      <c r="E2" s="9"/>
      <c r="F2" s="9"/>
      <c r="G2" s="9"/>
      <c r="H2" s="9"/>
      <c r="I2" s="9"/>
      <c r="J2" s="9"/>
    </row>
    <row r="3" spans="2:16" ht="5.0999999999999996" customHeight="1">
      <c r="B3" s="3"/>
      <c r="C3" s="9"/>
      <c r="D3" s="9"/>
      <c r="E3" s="9"/>
      <c r="F3" s="9"/>
      <c r="G3" s="9"/>
      <c r="H3" s="9"/>
      <c r="I3" s="9"/>
      <c r="J3" s="9"/>
    </row>
    <row r="4" spans="2:16" ht="15.75">
      <c r="B4" s="100">
        <v>100000</v>
      </c>
      <c r="C4" t="s">
        <v>145</v>
      </c>
      <c r="D4" s="9"/>
      <c r="E4" s="9"/>
      <c r="F4" s="9"/>
      <c r="G4" s="9"/>
      <c r="H4" s="9"/>
      <c r="I4" s="9"/>
      <c r="J4" s="9"/>
    </row>
    <row r="5" spans="2:16" ht="5.0999999999999996" customHeight="1">
      <c r="B5" s="5"/>
      <c r="C5" s="5"/>
      <c r="D5" s="5"/>
      <c r="E5" s="5"/>
      <c r="F5" s="5"/>
      <c r="G5" s="5"/>
      <c r="H5" s="5"/>
      <c r="I5" s="5"/>
      <c r="J5" s="5"/>
    </row>
    <row r="6" spans="2:16" ht="18">
      <c r="B6" s="10" t="s">
        <v>41</v>
      </c>
      <c r="C6" s="11" t="s">
        <v>42</v>
      </c>
      <c r="D6" s="12"/>
      <c r="E6" s="12"/>
      <c r="F6" s="12"/>
      <c r="G6" s="12"/>
      <c r="H6" s="12"/>
      <c r="I6" s="12"/>
      <c r="J6" s="13"/>
      <c r="L6" s="127" t="s">
        <v>140</v>
      </c>
    </row>
    <row r="7" spans="2:16" ht="15.75">
      <c r="B7" s="14" t="s">
        <v>40</v>
      </c>
      <c r="C7" s="8">
        <v>5</v>
      </c>
      <c r="D7" s="8">
        <v>10</v>
      </c>
      <c r="E7" s="8">
        <v>15</v>
      </c>
      <c r="F7" s="8">
        <v>20</v>
      </c>
      <c r="G7" s="8">
        <v>25</v>
      </c>
      <c r="H7" s="8">
        <v>30</v>
      </c>
      <c r="I7" s="8">
        <v>35</v>
      </c>
      <c r="J7" s="8">
        <v>40</v>
      </c>
      <c r="L7" s="125" t="s">
        <v>172</v>
      </c>
      <c r="M7" s="125"/>
      <c r="N7" s="125"/>
      <c r="O7" s="125"/>
      <c r="P7" s="125"/>
    </row>
    <row r="8" spans="2:16" ht="15">
      <c r="B8" s="119">
        <v>0</v>
      </c>
      <c r="C8" s="17">
        <f>-PMT($B8/12,C$7*12,$B$4,0,0)</f>
        <v>1666.6666666666667</v>
      </c>
      <c r="D8" s="17">
        <f>-PMT($B8/12,D$7*12,$B$4,0,0)</f>
        <v>833.33333333333337</v>
      </c>
      <c r="E8" s="17">
        <f>-PMT($B8/12,E$7*12,$B$4,0,0)</f>
        <v>555.55555555555554</v>
      </c>
      <c r="F8" s="17">
        <f>-PMT($B8/12,F$7*12,$B$4,0,0)</f>
        <v>416.66666666666669</v>
      </c>
      <c r="G8" s="17">
        <f>-PMT($B8/12,G$7*12,$B$4,0,0)</f>
        <v>333.33333333333331</v>
      </c>
      <c r="H8" s="17">
        <f>-PMT($B8/12,H$7*12,$B$4,0,0)</f>
        <v>277.77777777777777</v>
      </c>
      <c r="I8" s="17">
        <f>-PMT($B8/12,I$7*12,$B$4,0,0)</f>
        <v>238.0952380952381</v>
      </c>
      <c r="J8" s="17">
        <f>-PMT($B8/12,J$7*12,$B$4,0,0)</f>
        <v>208.33333333333334</v>
      </c>
    </row>
    <row r="9" spans="2:16" ht="15">
      <c r="B9" s="16">
        <f>B8+0.005</f>
        <v>5.0000000000000001E-3</v>
      </c>
      <c r="C9" s="18">
        <f>-PMT($B9/12,C$7*12,$B$4,0,0)</f>
        <v>1687.9339846870305</v>
      </c>
      <c r="D9" s="18">
        <f>-PMT($B9/12,D$7*12,$B$4,0,0)</f>
        <v>854.51383344728788</v>
      </c>
      <c r="E9" s="18">
        <f>-PMT($B9/12,E$7*12,$B$4,0,0)</f>
        <v>576.7649596264672</v>
      </c>
      <c r="F9" s="18">
        <f>-PMT($B9/12,F$7*12,$B$4,0,0)</f>
        <v>437.93389161253634</v>
      </c>
      <c r="G9" s="18">
        <f>-PMT($B9/12,G$7*12,$B$4,0,0)</f>
        <v>354.66993075454832</v>
      </c>
      <c r="H9" s="18">
        <f>-PMT($B9/12,H$7*12,$B$4,0,0)</f>
        <v>299.18950723403816</v>
      </c>
      <c r="I9" s="18">
        <f>-PMT($B9/12,I$7*12,$B$4,0,0)</f>
        <v>259.58537376230902</v>
      </c>
      <c r="J9" s="18">
        <f>-PMT($B9/12,J$7*12,$B$4,0,0)</f>
        <v>229.90390400595078</v>
      </c>
    </row>
    <row r="10" spans="2:16" ht="15">
      <c r="B10" s="15">
        <f t="shared" ref="B10:B23" si="0">B9+0.005</f>
        <v>0.01</v>
      </c>
      <c r="C10" s="19">
        <f>-PMT($B10/12,C$7*12,$B$4,0,0)</f>
        <v>1709.3747445452825</v>
      </c>
      <c r="D10" s="19">
        <f>-PMT($B10/12,D$7*12,$B$4,0,0)</f>
        <v>876.04121370152791</v>
      </c>
      <c r="E10" s="19">
        <f>-PMT($B10/12,E$7*12,$B$4,0,0)</f>
        <v>598.4945145182694</v>
      </c>
      <c r="F10" s="19">
        <f>-PMT($B10/12,F$7*12,$B$4,0,0)</f>
        <v>459.89430695779663</v>
      </c>
      <c r="G10" s="19">
        <f>-PMT($B10/12,G$7*12,$B$4,0,0)</f>
        <v>376.87245423055793</v>
      </c>
      <c r="H10" s="19">
        <f>-PMT($B10/12,H$7*12,$B$4,0,0)</f>
        <v>321.63952044647004</v>
      </c>
      <c r="I10" s="19">
        <f>-PMT($B10/12,I$7*12,$B$4,0,0)</f>
        <v>282.28569893668561</v>
      </c>
      <c r="J10" s="19">
        <f>-PMT($B10/12,J$7*12,$B$4,0,0)</f>
        <v>252.8560444079738</v>
      </c>
      <c r="K10" s="1"/>
    </row>
    <row r="11" spans="2:16" ht="15">
      <c r="B11" s="16">
        <f t="shared" si="0"/>
        <v>1.4999999999999999E-2</v>
      </c>
      <c r="C11" s="18">
        <f>-PMT($B11/12,C$7*12,$B$4,0,0)</f>
        <v>1730.98880548496</v>
      </c>
      <c r="D11" s="18">
        <f>-PMT($B11/12,D$7*12,$B$4,0,0)</f>
        <v>897.91499795029893</v>
      </c>
      <c r="E11" s="18">
        <f>-PMT($B11/12,E$7*12,$B$4,0,0)</f>
        <v>620.743020397431</v>
      </c>
      <c r="F11" s="18">
        <f>-PMT($B11/12,F$7*12,$B$4,0,0)</f>
        <v>482.54540888195254</v>
      </c>
      <c r="G11" s="18">
        <f>-PMT($B11/12,G$7*12,$B$4,0,0)</f>
        <v>399.93632623634915</v>
      </c>
      <c r="H11" s="18">
        <f>-PMT($B11/12,H$7*12,$B$4,0,0)</f>
        <v>345.12021045762697</v>
      </c>
      <c r="I11" s="18">
        <f>-PMT($B11/12,I$7*12,$B$4,0,0)</f>
        <v>306.184439704493</v>
      </c>
      <c r="J11" s="18">
        <f>-PMT($B11/12,J$7*12,$B$4,0,0)</f>
        <v>277.17249934100556</v>
      </c>
    </row>
    <row r="12" spans="2:16" ht="15">
      <c r="B12" s="15">
        <f t="shared" si="0"/>
        <v>0.02</v>
      </c>
      <c r="C12" s="19">
        <f>-PMT($B12/12,C$7*12,$B$4,0,0)</f>
        <v>1752.7760053244381</v>
      </c>
      <c r="D12" s="19">
        <f>-PMT($B12/12,D$7*12,$B$4,0,0)</f>
        <v>920.13453842560705</v>
      </c>
      <c r="E12" s="19">
        <f>-PMT($B12/12,E$7*12,$B$4,0,0)</f>
        <v>643.50870055772566</v>
      </c>
      <c r="F12" s="19">
        <f>-PMT($B12/12,F$7*12,$B$4,0,0)</f>
        <v>505.88333504511718</v>
      </c>
      <c r="G12" s="19">
        <f>-PMT($B12/12,G$7*12,$B$4,0,0)</f>
        <v>423.85433864407338</v>
      </c>
      <c r="H12" s="19">
        <f>-PMT($B12/12,H$7*12,$B$4,0,0)</f>
        <v>369.61947268882057</v>
      </c>
      <c r="I12" s="19">
        <f>-PMT($B12/12,I$7*12,$B$4,0,0)</f>
        <v>331.26276970044756</v>
      </c>
      <c r="J12" s="19">
        <f>-PMT($B12/12,J$7*12,$B$4,0,0)</f>
        <v>302.82563914285436</v>
      </c>
    </row>
    <row r="13" spans="2:16" ht="15">
      <c r="B13" s="16">
        <f t="shared" si="0"/>
        <v>2.5000000000000001E-2</v>
      </c>
      <c r="C13" s="18">
        <f>-PMT($B13/12,C$7*12,$B$4,0,0)</f>
        <v>1774.7361605480276</v>
      </c>
      <c r="D13" s="18">
        <f>-PMT($B13/12,D$7*12,$B$4,0,0)</f>
        <v>942.6990170396457</v>
      </c>
      <c r="E13" s="18">
        <f>-PMT($B13/12,E$7*12,$B$4,0,0)</f>
        <v>666.7892090089864</v>
      </c>
      <c r="F13" s="18">
        <f>-PMT($B13/12,F$7*12,$B$4,0,0)</f>
        <v>529.90289303222994</v>
      </c>
      <c r="G13" s="18">
        <f>-PMT($B13/12,G$7*12,$B$4,0,0)</f>
        <v>448.61673407662011</v>
      </c>
      <c r="H13" s="18">
        <f>-PMT($B13/12,H$7*12,$B$4,0,0)</f>
        <v>395.12089881773204</v>
      </c>
      <c r="I13" s="18">
        <f>-PMT($B13/12,I$7*12,$B$4,0,0)</f>
        <v>357.49521538465206</v>
      </c>
      <c r="J13" s="18">
        <f>-PMT($B13/12,J$7*12,$B$4,0,0)</f>
        <v>329.77822728528776</v>
      </c>
    </row>
    <row r="14" spans="2:16" ht="15">
      <c r="B14" s="15">
        <f t="shared" si="0"/>
        <v>3.0000000000000002E-2</v>
      </c>
      <c r="C14" s="19">
        <f>-PMT($B14/12,C$7*12,$B$4,0,0)</f>
        <v>1796.8690664063138</v>
      </c>
      <c r="D14" s="19">
        <f>-PMT($B14/12,D$7*12,$B$4,0,0)</f>
        <v>965.60744698389522</v>
      </c>
      <c r="E14" s="19">
        <f>-PMT($B14/12,E$7*12,$B$4,0,0)</f>
        <v>690.58164027799012</v>
      </c>
      <c r="F14" s="19">
        <f>-PMT($B14/12,F$7*12,$B$4,0,0)</f>
        <v>554.59759785391202</v>
      </c>
      <c r="G14" s="19">
        <f>-PMT($B14/12,G$7*12,$B$4,0,0)</f>
        <v>474.21131385767302</v>
      </c>
      <c r="H14" s="19">
        <f>-PMT($B14/12,H$7*12,$B$4,0,0)</f>
        <v>421.60403372945046</v>
      </c>
      <c r="I14" s="19">
        <f>-PMT($B14/12,I$7*12,$B$4,0,0)</f>
        <v>384.8501899407845</v>
      </c>
      <c r="J14" s="19">
        <f>-PMT($B14/12,J$7*12,$B$4,0,0)</f>
        <v>357.98442202873304</v>
      </c>
    </row>
    <row r="15" spans="2:16" ht="15">
      <c r="B15" s="16">
        <f t="shared" si="0"/>
        <v>3.5000000000000003E-2</v>
      </c>
      <c r="C15" s="18">
        <f>-PMT($B15/12,C$7*12,$B$4,0,0)</f>
        <v>1819.17449702564</v>
      </c>
      <c r="D15" s="18">
        <f>-PMT($B15/12,D$7*12,$B$4,0,0)</f>
        <v>988.85867461903331</v>
      </c>
      <c r="E15" s="18">
        <f>-PMT($B15/12,E$7*12,$B$4,0,0)</f>
        <v>714.88254134317515</v>
      </c>
      <c r="F15" s="18">
        <f>-PMT($B15/12,F$7*12,$B$4,0,0)</f>
        <v>579.95971798309336</v>
      </c>
      <c r="G15" s="18">
        <f>-PMT($B15/12,G$7*12,$B$4,0,0)</f>
        <v>500.62357025949291</v>
      </c>
      <c r="H15" s="18">
        <f>-PMT($B15/12,H$7*12,$B$4,0,0)</f>
        <v>449.04468780882451</v>
      </c>
      <c r="I15" s="18">
        <f>-PMT($B15/12,I$7*12,$B$4,0,0)</f>
        <v>413.29063436365749</v>
      </c>
      <c r="J15" s="18">
        <f>-PMT($B15/12,J$7*12,$B$4,0,0)</f>
        <v>387.39096076179385</v>
      </c>
    </row>
    <row r="16" spans="2:16" ht="15">
      <c r="B16" s="15">
        <f t="shared" si="0"/>
        <v>0.04</v>
      </c>
      <c r="C16" s="19">
        <f>-PMT($B16/12,C$7*12,$B$4,0,0)</f>
        <v>1841.6522055266353</v>
      </c>
      <c r="D16" s="19">
        <f>-PMT($B16/12,D$7*12,$B$4,0,0)</f>
        <v>1012.4513816488148</v>
      </c>
      <c r="E16" s="19">
        <f>-PMT($B16/12,E$7*12,$B$4,0,0)</f>
        <v>739.68792560927022</v>
      </c>
      <c r="F16" s="19">
        <f>-PMT($B16/12,F$7*12,$B$4,0,0)</f>
        <v>605.98032929941871</v>
      </c>
      <c r="G16" s="19">
        <f>-PMT($B16/12,G$7*12,$B$4,0,0)</f>
        <v>527.83684029777737</v>
      </c>
      <c r="H16" s="19">
        <f>-PMT($B16/12,H$7*12,$B$4,0,0)</f>
        <v>477.41529546545945</v>
      </c>
      <c r="I16" s="19">
        <f>-PMT($B16/12,I$7*12,$B$4,0,0)</f>
        <v>442.77474103331519</v>
      </c>
      <c r="J16" s="19">
        <f>-PMT($B16/12,J$7*12,$B$4,0,0)</f>
        <v>417.93846940381411</v>
      </c>
      <c r="K16" s="2"/>
    </row>
    <row r="17" spans="2:11" ht="15">
      <c r="B17" s="16">
        <f t="shared" si="0"/>
        <v>4.4999999999999998E-2</v>
      </c>
      <c r="C17" s="18">
        <f>-PMT($B17/12,C$7*12,$B$4,0,0)</f>
        <v>1864.3019241516649</v>
      </c>
      <c r="D17" s="18">
        <f>-PMT($B17/12,D$7*12,$B$4,0,0)</f>
        <v>1036.3840875701528</v>
      </c>
      <c r="E17" s="18">
        <f>-PMT($B17/12,E$7*12,$B$4,0,0)</f>
        <v>764.99328881345173</v>
      </c>
      <c r="F17" s="18">
        <f>-PMT($B17/12,F$7*12,$B$4,0,0)</f>
        <v>632.64937621996239</v>
      </c>
      <c r="G17" s="18">
        <f>-PMT($B17/12,G$7*12,$B$4,0,0)</f>
        <v>555.83247796198896</v>
      </c>
      <c r="H17" s="18">
        <f>-PMT($B17/12,H$7*12,$B$4,0,0)</f>
        <v>506.68530982588061</v>
      </c>
      <c r="I17" s="18">
        <f>-PMT($B17/12,I$7*12,$B$4,0,0)</f>
        <v>473.25673329351491</v>
      </c>
      <c r="J17" s="18">
        <f>-PMT($B17/12,J$7*12,$B$4,0,0)</f>
        <v>449.56283734488909</v>
      </c>
      <c r="K17" s="2"/>
    </row>
    <row r="18" spans="2:11" ht="15">
      <c r="B18" s="15">
        <f t="shared" si="0"/>
        <v>4.9999999999999996E-2</v>
      </c>
      <c r="C18" s="19">
        <f>-PMT($B18/12,C$7*12,$B$4,0,0)</f>
        <v>1887.1233644010936</v>
      </c>
      <c r="D18" s="19">
        <f>-PMT($B18/12,D$7*12,$B$4,0,0)</f>
        <v>1060.6551523907524</v>
      </c>
      <c r="E18" s="19">
        <f>-PMT($B18/12,E$7*12,$B$4,0,0)</f>
        <v>790.79362674154459</v>
      </c>
      <c r="F18" s="19">
        <f>-PMT($B18/12,F$7*12,$B$4,0,0)</f>
        <v>659.95573921665743</v>
      </c>
      <c r="G18" s="19">
        <f>-PMT($B18/12,G$7*12,$B$4,0,0)</f>
        <v>584.59004150797909</v>
      </c>
      <c r="H18" s="19">
        <f>-PMT($B18/12,H$7*12,$B$4,0,0)</f>
        <v>536.82162301213907</v>
      </c>
      <c r="I18" s="19">
        <f>-PMT($B18/12,I$7*12,$B$4,0,0)</f>
        <v>504.68767426588892</v>
      </c>
      <c r="J18" s="19">
        <f>-PMT($B18/12,J$7*12,$B$4,0,0)</f>
        <v>482.1966005795627</v>
      </c>
      <c r="K18" s="2"/>
    </row>
    <row r="19" spans="2:11" ht="15">
      <c r="B19" s="16">
        <f t="shared" si="0"/>
        <v>5.4999999999999993E-2</v>
      </c>
      <c r="C19" s="18">
        <f>-PMT($B19/12,C$7*12,$B$4,0,0)</f>
        <v>1910.1162171782244</v>
      </c>
      <c r="D19" s="18">
        <f>-PMT($B19/12,D$7*12,$B$4,0,0)</f>
        <v>1085.2627796048071</v>
      </c>
      <c r="E19" s="18">
        <f>-PMT($B19/12,E$7*12,$B$4,0,0)</f>
        <v>817.08345462113925</v>
      </c>
      <c r="F19" s="18">
        <f>-PMT($B19/12,F$7*12,$B$4,0,0)</f>
        <v>687.8873078592386</v>
      </c>
      <c r="G19" s="18">
        <f>-PMT($B19/12,G$7*12,$B$4,0,0)</f>
        <v>614.08749228147008</v>
      </c>
      <c r="H19" s="18">
        <f>-PMT($B19/12,H$7*12,$B$4,0,0)</f>
        <v>567.7890013470028</v>
      </c>
      <c r="I19" s="18">
        <f>-PMT($B19/12,I$7*12,$B$4,0,0)</f>
        <v>537.01627922260798</v>
      </c>
      <c r="J19" s="18">
        <f>-PMT($B19/12,J$7*12,$B$4,0,0)</f>
        <v>515.77028132377541</v>
      </c>
      <c r="K19" s="2"/>
    </row>
    <row r="20" spans="2:11" ht="15">
      <c r="B20" s="15">
        <f t="shared" si="0"/>
        <v>5.9999999999999991E-2</v>
      </c>
      <c r="C20" s="19">
        <f>-PMT($B20/12,C$7*12,$B$4,0,0)</f>
        <v>1933.2801529427916</v>
      </c>
      <c r="D20" s="19">
        <f>-PMT($B20/12,D$7*12,$B$4,0,0)</f>
        <v>1110.2050194164942</v>
      </c>
      <c r="E20" s="19">
        <f>-PMT($B20/12,E$7*12,$B$4,0,0)</f>
        <v>843.85682804845112</v>
      </c>
      <c r="F20" s="19">
        <f>-PMT($B20/12,F$7*12,$B$4,0,0)</f>
        <v>716.4310584781648</v>
      </c>
      <c r="G20" s="19">
        <f>-PMT($B20/12,G$7*12,$B$4,0,0)</f>
        <v>644.30140148550845</v>
      </c>
      <c r="H20" s="19">
        <f>-PMT($B20/12,H$7*12,$B$4,0,0)</f>
        <v>599.55052515275224</v>
      </c>
      <c r="I20" s="19">
        <f>-PMT($B20/12,I$7*12,$B$4,0,0)</f>
        <v>570.18970810207622</v>
      </c>
      <c r="J20" s="19">
        <f>-PMT($B20/12,J$7*12,$B$4,0,0)</f>
        <v>550.2136406040504</v>
      </c>
      <c r="K20" s="2"/>
    </row>
    <row r="21" spans="2:11" ht="15">
      <c r="B21" s="16">
        <f>B20+0.005</f>
        <v>6.4999999999999988E-2</v>
      </c>
      <c r="C21" s="18">
        <f>-PMT($B21/12,C$7*12,$B$4,0,0)</f>
        <v>1956.6148218728542</v>
      </c>
      <c r="D21" s="18">
        <f>-PMT($B21/12,D$7*12,$B$4,0,0)</f>
        <v>1135.4797722002602</v>
      </c>
      <c r="E21" s="18">
        <f>-PMT($B21/12,E$7*12,$B$4,0,0)</f>
        <v>871.10736529736164</v>
      </c>
      <c r="F21" s="18">
        <f>-PMT($B21/12,F$7*12,$B$4,0,0)</f>
        <v>745.57313551509708</v>
      </c>
      <c r="G21" s="18">
        <f>-PMT($B21/12,G$7*12,$B$4,0,0)</f>
        <v>675.2071613476395</v>
      </c>
      <c r="H21" s="18">
        <f>-PMT($B21/12,H$7*12,$B$4,0,0)</f>
        <v>632.06802349296368</v>
      </c>
      <c r="I21" s="18">
        <f>-PMT($B21/12,I$7*12,$B$4,0,0)</f>
        <v>604.15431791268281</v>
      </c>
      <c r="J21" s="18">
        <f>-PMT($B21/12,J$7*12,$B$4,0,0)</f>
        <v>585.45681007486246</v>
      </c>
      <c r="K21" s="2"/>
    </row>
    <row r="22" spans="2:11" ht="15">
      <c r="B22" s="15">
        <f t="shared" si="0"/>
        <v>6.9999999999999993E-2</v>
      </c>
      <c r="C22" s="19">
        <f>-PMT($B22/12,C$7*12,$B$4,0,0)</f>
        <v>1980.1198540349531</v>
      </c>
      <c r="D22" s="19">
        <f>-PMT($B22/12,D$7*12,$B$4,0,0)</f>
        <v>1161.0847921862405</v>
      </c>
      <c r="E22" s="19">
        <f>-PMT($B22/12,E$7*12,$B$4,0,0)</f>
        <v>898.82827085242695</v>
      </c>
      <c r="F22" s="19">
        <f>-PMT($B22/12,F$7*12,$B$4,0,0)</f>
        <v>775.29893561887445</v>
      </c>
      <c r="G22" s="19">
        <f>-PMT($B22/12,G$7*12,$B$4,0,0)</f>
        <v>706.77919727509175</v>
      </c>
      <c r="H22" s="19">
        <f>-PMT($B22/12,H$7*12,$B$4,0,0)</f>
        <v>665.3024951791831</v>
      </c>
      <c r="I22" s="19">
        <f>-PMT($B22/12,I$7*12,$B$4,0,0)</f>
        <v>638.85635852659232</v>
      </c>
      <c r="J22" s="19">
        <f>-PMT($B22/12,J$7*12,$B$4,0,0)</f>
        <v>621.43127967248893</v>
      </c>
      <c r="K22" s="2"/>
    </row>
    <row r="23" spans="2:11" ht="15">
      <c r="B23" s="16">
        <f t="shared" si="0"/>
        <v>7.4999999999999997E-2</v>
      </c>
      <c r="C23" s="18">
        <f>-PMT($B23/12,C$7*12,$B$4,0,0)</f>
        <v>2003.7948595623764</v>
      </c>
      <c r="D23" s="18">
        <f>-PMT($B23/12,D$7*12,$B$4,0,0)</f>
        <v>1187.0176913585422</v>
      </c>
      <c r="E23" s="18">
        <f>-PMT($B23/12,E$7*12,$B$4,0,0)</f>
        <v>927.01236000273809</v>
      </c>
      <c r="F23" s="18">
        <f>-PMT($B23/12,F$7*12,$B$4,0,0)</f>
        <v>805.5931935518073</v>
      </c>
      <c r="G23" s="18">
        <f>-PMT($B23/12,G$7*12,$B$4,0,0)</f>
        <v>738.99117779745927</v>
      </c>
      <c r="H23" s="18">
        <f>-PMT($B23/12,H$7*12,$B$4,0,0)</f>
        <v>699.21450855277919</v>
      </c>
      <c r="I23" s="18">
        <f>-PMT($B23/12,I$7*12,$B$4,0,0)</f>
        <v>674.24259941635137</v>
      </c>
      <c r="J23" s="18">
        <f>-PMT($B23/12,J$7*12,$B$4,0,0)</f>
        <v>658.07072778912107</v>
      </c>
      <c r="K23" s="2"/>
    </row>
    <row r="24" spans="2:11" ht="15">
      <c r="B24" s="15">
        <f t="shared" ref="B24:B38" si="1">B23+0.005</f>
        <v>0.08</v>
      </c>
      <c r="C24" s="19">
        <f>-PMT($B24/12,C$7*12,$B$4,0,0)</f>
        <v>2027.6394288413683</v>
      </c>
      <c r="D24" s="19">
        <f>-PMT($B24/12,D$7*12,$B$4,0,0)</f>
        <v>1213.2759435535693</v>
      </c>
      <c r="E24" s="19">
        <f>-PMT($B24/12,E$7*12,$B$4,0,0)</f>
        <v>955.6520843303515</v>
      </c>
      <c r="F24" s="19">
        <f>-PMT($B24/12,F$7*12,$B$4,0,0)</f>
        <v>836.44006899346277</v>
      </c>
      <c r="G24" s="19">
        <f>-PMT($B24/12,G$7*12,$B$4,0,0)</f>
        <v>771.81621937300304</v>
      </c>
      <c r="H24" s="19">
        <f>-PMT($B24/12,H$7*12,$B$4,0,0)</f>
        <v>733.76457387937614</v>
      </c>
      <c r="I24" s="19">
        <f>-PMT($B24/12,I$7*12,$B$4,0,0)</f>
        <v>710.26087895461035</v>
      </c>
      <c r="J24" s="19">
        <f>-PMT($B24/12,J$7*12,$B$4,0,0)</f>
        <v>695.31168977473271</v>
      </c>
      <c r="K24" s="2"/>
    </row>
    <row r="25" spans="2:11" ht="15">
      <c r="B25" s="16">
        <f t="shared" si="1"/>
        <v>8.5000000000000006E-2</v>
      </c>
      <c r="C25" s="18">
        <f>-PMT($B25/12,C$7*12,$B$4,0,0)</f>
        <v>2051.6531327051252</v>
      </c>
      <c r="D25" s="18">
        <f>-PMT($B25/12,D$7*12,$B$4,0,0)</f>
        <v>1239.8568887451113</v>
      </c>
      <c r="E25" s="18">
        <f>-PMT($B25/12,E$7*12,$B$4,0,0)</f>
        <v>984.7395579255932</v>
      </c>
      <c r="F25" s="18">
        <f>-PMT($B25/12,F$7*12,$B$4,0,0)</f>
        <v>867.82323336553395</v>
      </c>
      <c r="G25" s="18">
        <f>-PMT($B25/12,G$7*12,$B$4,0,0)</f>
        <v>805.2270834621313</v>
      </c>
      <c r="H25" s="18">
        <f>-PMT($B25/12,H$7*12,$B$4,0,0)</f>
        <v>768.91348358433368</v>
      </c>
      <c r="I25" s="18">
        <f>-PMT($B25/12,I$7*12,$B$4,0,0)</f>
        <v>746.86057174858797</v>
      </c>
      <c r="J25" s="18">
        <f>-PMT($B25/12,J$7*12,$B$4,0,0)</f>
        <v>733.09406828875149</v>
      </c>
    </row>
    <row r="26" spans="2:11" ht="15">
      <c r="B26" s="15">
        <f t="shared" si="1"/>
        <v>9.0000000000000011E-2</v>
      </c>
      <c r="C26" s="19">
        <f>-PMT($B26/12,C$7*12,$B$4,0,0)</f>
        <v>2075.8355226354006</v>
      </c>
      <c r="D26" s="19">
        <f>-PMT($B26/12,D$7*12,$B$4,0,0)</f>
        <v>1266.757737502495</v>
      </c>
      <c r="E26" s="19">
        <f>-PMT($B26/12,E$7*12,$B$4,0,0)</f>
        <v>1014.266584161785</v>
      </c>
      <c r="F26" s="19">
        <f>-PMT($B26/12,F$7*12,$B$4,0,0)</f>
        <v>899.72595585017302</v>
      </c>
      <c r="G26" s="19">
        <f>-PMT($B26/12,G$7*12,$B$4,0,0)</f>
        <v>839.19636363484346</v>
      </c>
      <c r="H26" s="19">
        <f>-PMT($B26/12,H$7*12,$B$4,0,0)</f>
        <v>804.62261694478275</v>
      </c>
      <c r="I26" s="19">
        <f>-PMT($B26/12,I$7*12,$B$4,0,0)</f>
        <v>783.99297293819166</v>
      </c>
      <c r="J26" s="19">
        <f>-PMT($B26/12,J$7*12,$B$4,0,0)</f>
        <v>771.36149508644576</v>
      </c>
    </row>
    <row r="27" spans="2:11" ht="15">
      <c r="B27" s="16">
        <f t="shared" si="1"/>
        <v>9.5000000000000015E-2</v>
      </c>
      <c r="C27" s="18">
        <f>-PMT($B27/12,C$7*12,$B$4,0,0)</f>
        <v>2100.1861309715509</v>
      </c>
      <c r="D27" s="18">
        <f>-PMT($B27/12,D$7*12,$B$4,0,0)</f>
        <v>1293.9755756077702</v>
      </c>
      <c r="E27" s="18">
        <f>-PMT($B27/12,E$7*12,$B$4,0,0)</f>
        <v>1044.2246828637865</v>
      </c>
      <c r="F27" s="18">
        <f>-PMT($B27/12,F$7*12,$B$4,0,0)</f>
        <v>932.13118783351808</v>
      </c>
      <c r="G27" s="18">
        <f>-PMT($B27/12,G$7*12,$B$4,0,0)</f>
        <v>873.6966608630745</v>
      </c>
      <c r="H27" s="18">
        <f>-PMT($B27/12,H$7*12,$B$4,0,0)</f>
        <v>840.85420717874808</v>
      </c>
      <c r="I27" s="18">
        <f>-PMT($B27/12,I$7*12,$B$4,0,0)</f>
        <v>821.61160133078045</v>
      </c>
      <c r="J27" s="18">
        <f>-PMT($B27/12,J$7*12,$B$4,0,0)</f>
        <v>810.06155818177535</v>
      </c>
    </row>
    <row r="28" spans="2:11" ht="15">
      <c r="B28" s="15">
        <f t="shared" si="1"/>
        <v>0.10000000000000002</v>
      </c>
      <c r="C28" s="19">
        <f>-PMT($B28/12,C$7*12,$B$4,0,0)</f>
        <v>2124.7044711268277</v>
      </c>
      <c r="D28" s="19">
        <f>-PMT($B28/12,D$7*12,$B$4,0,0)</f>
        <v>1321.5073688176165</v>
      </c>
      <c r="E28" s="19">
        <f>-PMT($B28/12,E$7*12,$B$4,0,0)</f>
        <v>1074.6051177081163</v>
      </c>
      <c r="F28" s="19">
        <f>-PMT($B28/12,F$7*12,$B$4,0,0)</f>
        <v>965.02164507400812</v>
      </c>
      <c r="G28" s="19">
        <f>-PMT($B28/12,G$7*12,$B$4,0,0)</f>
        <v>908.70074554006067</v>
      </c>
      <c r="H28" s="19">
        <f>-PMT($B28/12,H$7*12,$B$4,0,0)</f>
        <v>877.57157008879881</v>
      </c>
      <c r="I28" s="19">
        <f>-PMT($B28/12,I$7*12,$B$4,0,0)</f>
        <v>859.67242561330522</v>
      </c>
      <c r="J28" s="19">
        <f>-PMT($B28/12,J$7*12,$B$4,0,0)</f>
        <v>849.14591107218905</v>
      </c>
    </row>
    <row r="29" spans="2:11" ht="15">
      <c r="B29" s="16">
        <f t="shared" si="1"/>
        <v>0.10500000000000002</v>
      </c>
      <c r="C29" s="18">
        <f>-PMT($B29/12,C$7*12,$B$4,0,0)</f>
        <v>2149.3900378117464</v>
      </c>
      <c r="D29" s="18">
        <f>-PMT($B29/12,D$7*12,$B$4,0,0)</f>
        <v>1349.3499677554701</v>
      </c>
      <c r="E29" s="18">
        <f>-PMT($B29/12,E$7*12,$B$4,0,0)</f>
        <v>1105.3989236971704</v>
      </c>
      <c r="F29" s="18">
        <f>-PMT($B29/12,F$7*12,$B$4,0,0)</f>
        <v>998.37988696949537</v>
      </c>
      <c r="G29" s="18">
        <f>-PMT($B29/12,G$7*12,$B$4,0,0)</f>
        <v>944.18170515451459</v>
      </c>
      <c r="H29" s="18">
        <f>-PMT($B29/12,H$7*12,$B$4,0,0)</f>
        <v>914.7392944930715</v>
      </c>
      <c r="I29" s="18">
        <f>-PMT($B29/12,I$7*12,$B$4,0,0)</f>
        <v>898.13401965991568</v>
      </c>
      <c r="J29" s="18">
        <f>-PMT($B29/12,J$7*12,$B$4,0,0)</f>
        <v>888.57028203565585</v>
      </c>
    </row>
    <row r="30" spans="2:11" ht="15">
      <c r="B30" s="15">
        <f t="shared" si="1"/>
        <v>0.11000000000000003</v>
      </c>
      <c r="C30" s="19">
        <f>-PMT($B30/12,C$7*12,$B$4,0,0)</f>
        <v>2174.242307264331</v>
      </c>
      <c r="D30" s="19">
        <f>-PMT($B30/12,D$7*12,$B$4,0,0)</f>
        <v>1377.5001129192249</v>
      </c>
      <c r="E30" s="19">
        <f>-PMT($B30/12,E$7*12,$B$4,0,0)</f>
        <v>1136.5969345560889</v>
      </c>
      <c r="F30" s="19">
        <f>-PMT($B30/12,F$7*12,$B$4,0,0)</f>
        <v>1032.1883923760568</v>
      </c>
      <c r="G30" s="19">
        <f>-PMT($B30/12,G$7*12,$B$4,0,0)</f>
        <v>980.11307691674915</v>
      </c>
      <c r="H30" s="19">
        <f>-PMT($B30/12,H$7*12,$B$4,0,0)</f>
        <v>952.32339558939987</v>
      </c>
      <c r="I30" s="19">
        <f>-PMT($B30/12,I$7*12,$B$4,0,0)</f>
        <v>936.95765416534982</v>
      </c>
      <c r="J30" s="19">
        <f>-PMT($B30/12,J$7*12,$B$4,0,0)</f>
        <v>928.29440166750271</v>
      </c>
    </row>
    <row r="31" spans="2:11" ht="15">
      <c r="B31" s="16">
        <f t="shared" si="1"/>
        <v>0.11500000000000003</v>
      </c>
      <c r="C31" s="18">
        <f>-PMT($B31/12,C$7*12,$B$4,0,0)</f>
        <v>2199.2607374870404</v>
      </c>
      <c r="D31" s="18">
        <f>-PMT($B31/12,D$7*12,$B$4,0,0)</f>
        <v>1405.954439789803</v>
      </c>
      <c r="E31" s="18">
        <f>-PMT($B31/12,E$7*12,$B$4,0,0)</f>
        <v>1168.1898099079986</v>
      </c>
      <c r="F31" s="18">
        <f>-PMT($B31/12,F$7*12,$B$4,0,0)</f>
        <v>1066.429631512859</v>
      </c>
      <c r="G31" s="18">
        <f>-PMT($B31/12,G$7*12,$B$4,0,0)</f>
        <v>1016.4689649781312</v>
      </c>
      <c r="H31" s="18">
        <f>-PMT($B31/12,H$7*12,$B$4,0,0)</f>
        <v>990.29143313906673</v>
      </c>
      <c r="I31" s="18">
        <f>-PMT($B31/12,I$7*12,$B$4,0,0)</f>
        <v>976.10733253537148</v>
      </c>
      <c r="J31" s="18">
        <f>-PMT($B31/12,J$7*12,$B$4,0,0)</f>
        <v>968.28186608575845</v>
      </c>
    </row>
    <row r="32" spans="2:11" ht="15">
      <c r="B32" s="15">
        <f t="shared" si="1"/>
        <v>0.12000000000000004</v>
      </c>
      <c r="C32" s="19">
        <f>-PMT($B32/12,C$7*12,$B$4,0,0)</f>
        <v>2224.4447684901779</v>
      </c>
      <c r="D32" s="19">
        <f>-PMT($B32/12,D$7*12,$B$4,0,0)</f>
        <v>1434.7094840258737</v>
      </c>
      <c r="E32" s="19">
        <f>-PMT($B32/12,E$7*12,$B$4,0,0)</f>
        <v>1200.1680620915138</v>
      </c>
      <c r="F32" s="19">
        <f>-PMT($B32/12,F$7*12,$B$4,0,0)</f>
        <v>1101.0861335696104</v>
      </c>
      <c r="G32" s="19">
        <f>-PMT($B32/12,G$7*12,$B$4,0,0)</f>
        <v>1053.2241421976285</v>
      </c>
      <c r="H32" s="19">
        <f>-PMT($B32/12,H$7*12,$B$4,0,0)</f>
        <v>1028.6125969255047</v>
      </c>
      <c r="I32" s="19">
        <f>-PMT($B32/12,I$7*12,$B$4,0,0)</f>
        <v>1015.5497792271653</v>
      </c>
      <c r="J32" s="19">
        <f>-PMT($B32/12,J$7*12,$B$4,0,0)</f>
        <v>1008.4999518616162</v>
      </c>
    </row>
    <row r="33" spans="2:10" ht="15">
      <c r="B33" s="16">
        <f t="shared" si="1"/>
        <v>0.12500000000000003</v>
      </c>
      <c r="C33" s="18">
        <f>-PMT($B33/12,C$7*12,$B$4,0,0)</f>
        <v>2249.7938225415842</v>
      </c>
      <c r="D33" s="18">
        <f>-PMT($B33/12,D$7*12,$B$4,0,0)</f>
        <v>1463.7616867300819</v>
      </c>
      <c r="E33" s="18">
        <f>-PMT($B33/12,E$7*12,$B$4,0,0)</f>
        <v>1232.5220824933976</v>
      </c>
      <c r="F33" s="18">
        <f>-PMT($B33/12,F$7*12,$B$4,0,0)</f>
        <v>1136.1405497143696</v>
      </c>
      <c r="G33" s="18">
        <f>-PMT($B33/12,G$7*12,$B$4,0,0)</f>
        <v>1090.3541366850238</v>
      </c>
      <c r="H33" s="18">
        <f>-PMT($B33/12,H$7*12,$B$4,0,0)</f>
        <v>1067.2577623481598</v>
      </c>
      <c r="I33" s="18">
        <f>-PMT($B33/12,I$7*12,$B$4,0,0)</f>
        <v>1055.2543886357259</v>
      </c>
      <c r="J33" s="18">
        <f>-PMT($B33/12,J$7*12,$B$4,0,0)</f>
        <v>1048.9193969617916</v>
      </c>
    </row>
    <row r="34" spans="2:10" ht="15">
      <c r="B34" s="15">
        <f t="shared" si="1"/>
        <v>0.13000000000000003</v>
      </c>
      <c r="C34" s="19">
        <f>-PMT($B34/12,C$7*12,$B$4,0,0)</f>
        <v>2275.307304422402</v>
      </c>
      <c r="D34" s="19">
        <f>-PMT($B34/12,D$7*12,$B$4,0,0)</f>
        <v>1493.1073997722483</v>
      </c>
      <c r="E34" s="19">
        <f>-PMT($B34/12,E$7*12,$B$4,0,0)</f>
        <v>1265.2421672789612</v>
      </c>
      <c r="F34" s="19">
        <f>-PMT($B34/12,F$7*12,$B$4,0,0)</f>
        <v>1171.5757112783037</v>
      </c>
      <c r="G34" s="19">
        <f>-PMT($B34/12,G$7*12,$B$4,0,0)</f>
        <v>1127.8353035868445</v>
      </c>
      <c r="H34" s="19">
        <f>-PMT($B34/12,H$7*12,$B$4,0,0)</f>
        <v>1106.1995192665611</v>
      </c>
      <c r="I34" s="19">
        <f>-PMT($B34/12,I$7*12,$B$4,0,0)</f>
        <v>1095.1931422489229</v>
      </c>
      <c r="J34" s="19">
        <f>-PMT($B34/12,J$7*12,$B$4,0,0)</f>
        <v>1089.5141600193385</v>
      </c>
    </row>
    <row r="35" spans="2:10" ht="15">
      <c r="B35" s="16">
        <f t="shared" si="1"/>
        <v>0.13500000000000004</v>
      </c>
      <c r="C35" s="18">
        <f>-PMT($B35/12,C$7*12,$B$4,0,0)</f>
        <v>2300.9846016887032</v>
      </c>
      <c r="D35" s="18">
        <f>-PMT($B35/12,D$7*12,$B$4,0,0)</f>
        <v>1522.7428911552045</v>
      </c>
      <c r="E35" s="18">
        <f>-PMT($B35/12,E$7*12,$B$4,0,0)</f>
        <v>1298.3185424130261</v>
      </c>
      <c r="F35" s="18">
        <f>-PMT($B35/12,F$7*12,$B$4,0,0)</f>
        <v>1207.374682969109</v>
      </c>
      <c r="G35" s="18">
        <f>-PMT($B35/12,G$7*12,$B$4,0,0)</f>
        <v>1165.644882777113</v>
      </c>
      <c r="H35" s="18">
        <f>-PMT($B35/12,H$7*12,$B$4,0,0)</f>
        <v>1145.4121773322443</v>
      </c>
      <c r="I35" s="18">
        <f>-PMT($B35/12,I$7*12,$B$4,0,0)</f>
        <v>1135.3405012217613</v>
      </c>
      <c r="J35" s="18">
        <f>-PMT($B35/12,J$7*12,$B$4,0,0)</f>
        <v>1130.2611682342836</v>
      </c>
    </row>
    <row r="36" spans="2:10" ht="15">
      <c r="B36" s="15">
        <f t="shared" si="1"/>
        <v>0.14000000000000004</v>
      </c>
      <c r="C36" s="19">
        <f>-PMT($B36/12,C$7*12,$B$4,0,0)</f>
        <v>2326.82508493877</v>
      </c>
      <c r="D36" s="19">
        <f>-PMT($B36/12,D$7*12,$B$4,0,0)</f>
        <v>1552.6643504091448</v>
      </c>
      <c r="E36" s="19">
        <f>-PMT($B36/12,E$7*12,$B$4,0,0)</f>
        <v>1331.7413878748871</v>
      </c>
      <c r="F36" s="19">
        <f>-PMT($B36/12,F$7*12,$B$4,0,0)</f>
        <v>1243.5208110352389</v>
      </c>
      <c r="G36" s="19">
        <f>-PMT($B36/12,G$7*12,$B$4,0,0)</f>
        <v>1203.7610432711492</v>
      </c>
      <c r="H36" s="19">
        <f>-PMT($B36/12,H$7*12,$B$4,0,0)</f>
        <v>1184.8717510565348</v>
      </c>
      <c r="I36" s="19">
        <f>-PMT($B36/12,I$7*12,$B$4,0,0)</f>
        <v>1175.6732808188021</v>
      </c>
      <c r="J36" s="19">
        <f>-PMT($B36/12,J$7*12,$B$4,0,0)</f>
        <v>1171.140062259678</v>
      </c>
    </row>
    <row r="37" spans="2:10" ht="15">
      <c r="B37" s="16">
        <f t="shared" si="1"/>
        <v>0.14500000000000005</v>
      </c>
      <c r="C37" s="18">
        <f>-PMT($B37/12,C$7*12,$B$4,0,0)</f>
        <v>2352.8281080858069</v>
      </c>
      <c r="D37" s="18">
        <f>-PMT($B37/12,D$7*12,$B$4,0,0)</f>
        <v>1582.8678940006864</v>
      </c>
      <c r="E37" s="18">
        <f>-PMT($B37/12,E$7*12,$B$4,0,0)</f>
        <v>1365.5008609815584</v>
      </c>
      <c r="F37" s="18">
        <f>-PMT($B37/12,F$7*12,$B$4,0,0)</f>
        <v>1279.9977663679172</v>
      </c>
      <c r="G37" s="18">
        <f>-PMT($B37/12,G$7*12,$B$4,0,0)</f>
        <v>1242.162915298464</v>
      </c>
      <c r="H37" s="18">
        <f>-PMT($B37/12,H$7*12,$B$4,0,0)</f>
        <v>1224.5559277810216</v>
      </c>
      <c r="I37" s="18">
        <f>-PMT($B37/12,I$7*12,$B$4,0,0)</f>
        <v>1216.1705124019168</v>
      </c>
      <c r="J37" s="18">
        <f>-PMT($B37/12,J$7*12,$B$4,0,0)</f>
        <v>1212.1329446300308</v>
      </c>
    </row>
    <row r="38" spans="2:10" ht="15">
      <c r="B38" s="15">
        <f t="shared" si="1"/>
        <v>0.15000000000000005</v>
      </c>
      <c r="C38" s="19">
        <f>-PMT($B38/12,C$7*12,$B$4,0,0)</f>
        <v>2378.993008635874</v>
      </c>
      <c r="D38" s="19">
        <f>-PMT($B38/12,D$7*12,$B$4,0,0)</f>
        <v>1613.3495707431559</v>
      </c>
      <c r="E38" s="19">
        <f>-PMT($B38/12,E$7*12,$B$4,0,0)</f>
        <v>1399.587118744573</v>
      </c>
      <c r="F38" s="19">
        <f>-PMT($B38/12,F$7*12,$B$4,0,0)</f>
        <v>1316.7895825866381</v>
      </c>
      <c r="G38" s="19">
        <f>-PMT($B38/12,G$7*12,$B$4,0,0)</f>
        <v>1280.8306110529359</v>
      </c>
      <c r="H38" s="19">
        <f>-PMT($B38/12,H$7*12,$B$4,0,0)</f>
        <v>1264.4440215650436</v>
      </c>
      <c r="I38" s="19">
        <f>-PMT($B38/12,I$7*12,$B$4,0,0)</f>
        <v>1256.8132978464662</v>
      </c>
      <c r="J38" s="19">
        <f>-PMT($B38/12,J$7*12,$B$4,0,0)</f>
        <v>1253.2241366843214</v>
      </c>
    </row>
  </sheetData>
  <phoneticPr fontId="4" type="noConversion"/>
  <printOptions horizontalCentered="1"/>
  <pageMargins left="0.25" right="0.25" top="1" bottom="1" header="0.5" footer="0.5"/>
  <pageSetup scale="91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5"/>
  <sheetViews>
    <sheetView showGridLines="0" workbookViewId="0">
      <selection activeCell="B3" sqref="B3"/>
    </sheetView>
  </sheetViews>
  <sheetFormatPr defaultRowHeight="12.75"/>
  <cols>
    <col min="1" max="1" width="1.7109375" customWidth="1"/>
    <col min="2" max="2" width="11.28515625" bestFit="1" customWidth="1"/>
    <col min="3" max="3" width="7.7109375" customWidth="1"/>
    <col min="4" max="14" width="7.7109375" bestFit="1" customWidth="1"/>
    <col min="15" max="15" width="8" bestFit="1" customWidth="1"/>
  </cols>
  <sheetData>
    <row r="1" spans="2:21" ht="5.0999999999999996" customHeight="1"/>
    <row r="2" spans="2:21" ht="18">
      <c r="B2" s="3" t="s">
        <v>39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4" spans="2:21" ht="15.75">
      <c r="B4" s="20" t="s">
        <v>3</v>
      </c>
      <c r="C4" s="11" t="s">
        <v>1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3"/>
    </row>
    <row r="5" spans="2:21" ht="15.75">
      <c r="B5" s="14" t="s">
        <v>4</v>
      </c>
      <c r="C5" s="117">
        <v>0.01</v>
      </c>
      <c r="D5" s="21">
        <f t="shared" ref="D5:K5" si="0">C5+0.005</f>
        <v>1.4999999999999999E-2</v>
      </c>
      <c r="E5" s="21">
        <f t="shared" si="0"/>
        <v>0.02</v>
      </c>
      <c r="F5" s="21">
        <f t="shared" si="0"/>
        <v>2.5000000000000001E-2</v>
      </c>
      <c r="G5" s="21">
        <f t="shared" si="0"/>
        <v>3.0000000000000002E-2</v>
      </c>
      <c r="H5" s="21">
        <f t="shared" si="0"/>
        <v>3.5000000000000003E-2</v>
      </c>
      <c r="I5" s="21">
        <f t="shared" si="0"/>
        <v>0.04</v>
      </c>
      <c r="J5" s="21">
        <f t="shared" si="0"/>
        <v>4.4999999999999998E-2</v>
      </c>
      <c r="K5" s="21">
        <f t="shared" si="0"/>
        <v>4.9999999999999996E-2</v>
      </c>
      <c r="L5" s="21">
        <f t="shared" ref="L5:U5" si="1">K5+0.005</f>
        <v>5.4999999999999993E-2</v>
      </c>
      <c r="M5" s="21">
        <f t="shared" si="1"/>
        <v>5.9999999999999991E-2</v>
      </c>
      <c r="N5" s="21">
        <f t="shared" si="1"/>
        <v>6.4999999999999988E-2</v>
      </c>
      <c r="O5" s="21">
        <f t="shared" si="1"/>
        <v>6.9999999999999993E-2</v>
      </c>
      <c r="P5" s="21">
        <f t="shared" si="1"/>
        <v>7.4999999999999997E-2</v>
      </c>
      <c r="Q5" s="21">
        <f t="shared" si="1"/>
        <v>0.08</v>
      </c>
      <c r="R5" s="21">
        <f t="shared" si="1"/>
        <v>8.5000000000000006E-2</v>
      </c>
      <c r="S5" s="21">
        <f t="shared" si="1"/>
        <v>9.0000000000000011E-2</v>
      </c>
      <c r="T5" s="21">
        <f t="shared" si="1"/>
        <v>9.5000000000000015E-2</v>
      </c>
      <c r="U5" s="21">
        <f t="shared" si="1"/>
        <v>0.10000000000000002</v>
      </c>
    </row>
    <row r="6" spans="2:21">
      <c r="B6" s="118">
        <v>25000</v>
      </c>
      <c r="C6" s="24">
        <f t="shared" ref="C6:U21" si="2">-PMT(C$5/12,360,$B6,0,0)</f>
        <v>80.409880111617511</v>
      </c>
      <c r="D6" s="24">
        <f t="shared" si="2"/>
        <v>86.280052614406742</v>
      </c>
      <c r="E6" s="24">
        <f t="shared" si="2"/>
        <v>92.404868172205141</v>
      </c>
      <c r="F6" s="24">
        <f t="shared" si="2"/>
        <v>98.78022470443301</v>
      </c>
      <c r="G6" s="24">
        <f t="shared" si="2"/>
        <v>105.40100843236262</v>
      </c>
      <c r="H6" s="24">
        <f t="shared" si="2"/>
        <v>112.26117195220613</v>
      </c>
      <c r="I6" s="24">
        <f t="shared" si="2"/>
        <v>119.35382386636486</v>
      </c>
      <c r="J6" s="24">
        <f t="shared" si="2"/>
        <v>126.67132745647015</v>
      </c>
      <c r="K6" s="24">
        <f t="shared" si="2"/>
        <v>134.20540575303477</v>
      </c>
      <c r="L6" s="24">
        <f t="shared" si="2"/>
        <v>141.9472503367507</v>
      </c>
      <c r="M6" s="24">
        <f t="shared" si="2"/>
        <v>149.88763128818806</v>
      </c>
      <c r="N6" s="24">
        <f t="shared" si="2"/>
        <v>158.01700587324092</v>
      </c>
      <c r="O6" s="24">
        <f t="shared" si="2"/>
        <v>166.32562379479577</v>
      </c>
      <c r="P6" s="24">
        <f t="shared" si="2"/>
        <v>174.8036271381948</v>
      </c>
      <c r="Q6" s="24">
        <f t="shared" si="2"/>
        <v>183.44114346984404</v>
      </c>
      <c r="R6" s="24">
        <f t="shared" si="2"/>
        <v>192.22837089608342</v>
      </c>
      <c r="S6" s="24">
        <f t="shared" si="2"/>
        <v>201.15565423619569</v>
      </c>
      <c r="T6" s="24">
        <f t="shared" si="2"/>
        <v>210.21355179468702</v>
      </c>
      <c r="U6" s="24">
        <f t="shared" si="2"/>
        <v>219.3928925221997</v>
      </c>
    </row>
    <row r="7" spans="2:21">
      <c r="B7" s="25">
        <f>B6+25000</f>
        <v>50000</v>
      </c>
      <c r="C7" s="25">
        <f t="shared" si="2"/>
        <v>160.81976022323502</v>
      </c>
      <c r="D7" s="25">
        <f t="shared" si="2"/>
        <v>172.56010522881348</v>
      </c>
      <c r="E7" s="25">
        <f t="shared" si="2"/>
        <v>184.80973634441028</v>
      </c>
      <c r="F7" s="25">
        <f t="shared" si="2"/>
        <v>197.56044940886602</v>
      </c>
      <c r="G7" s="25">
        <f t="shared" si="2"/>
        <v>210.80201686472523</v>
      </c>
      <c r="H7" s="25">
        <f t="shared" si="2"/>
        <v>224.52234390441225</v>
      </c>
      <c r="I7" s="25">
        <f t="shared" si="2"/>
        <v>238.70764773272973</v>
      </c>
      <c r="J7" s="25">
        <f t="shared" si="2"/>
        <v>253.3426549129403</v>
      </c>
      <c r="K7" s="25">
        <f t="shared" si="2"/>
        <v>268.41081150606954</v>
      </c>
      <c r="L7" s="25">
        <f t="shared" si="2"/>
        <v>283.8945006735014</v>
      </c>
      <c r="M7" s="25">
        <f t="shared" si="2"/>
        <v>299.77526257637612</v>
      </c>
      <c r="N7" s="25">
        <f t="shared" si="2"/>
        <v>316.03401174648184</v>
      </c>
      <c r="O7" s="25">
        <f t="shared" si="2"/>
        <v>332.65124758959155</v>
      </c>
      <c r="P7" s="25">
        <f t="shared" si="2"/>
        <v>349.6072542763896</v>
      </c>
      <c r="Q7" s="25">
        <f t="shared" si="2"/>
        <v>366.88228693968807</v>
      </c>
      <c r="R7" s="25">
        <f t="shared" si="2"/>
        <v>384.45674179216684</v>
      </c>
      <c r="S7" s="25">
        <f t="shared" si="2"/>
        <v>402.31130847239137</v>
      </c>
      <c r="T7" s="25">
        <f t="shared" si="2"/>
        <v>420.42710358937404</v>
      </c>
      <c r="U7" s="25">
        <f t="shared" si="2"/>
        <v>438.7857850443994</v>
      </c>
    </row>
    <row r="8" spans="2:21">
      <c r="B8" s="24">
        <f t="shared" ref="B8:B45" si="3">B7+25000</f>
        <v>75000</v>
      </c>
      <c r="C8" s="24">
        <f t="shared" si="2"/>
        <v>241.22964033485255</v>
      </c>
      <c r="D8" s="24">
        <f t="shared" si="2"/>
        <v>258.8401578432202</v>
      </c>
      <c r="E8" s="24">
        <f t="shared" si="2"/>
        <v>277.2146045166154</v>
      </c>
      <c r="F8" s="24">
        <f t="shared" si="2"/>
        <v>296.34067411329897</v>
      </c>
      <c r="G8" s="24">
        <f t="shared" si="2"/>
        <v>316.20302529708783</v>
      </c>
      <c r="H8" s="24">
        <f t="shared" si="2"/>
        <v>336.78351585661835</v>
      </c>
      <c r="I8" s="24">
        <f t="shared" si="2"/>
        <v>358.06147159909466</v>
      </c>
      <c r="J8" s="24">
        <f t="shared" si="2"/>
        <v>380.01398236941048</v>
      </c>
      <c r="K8" s="24">
        <f t="shared" si="2"/>
        <v>402.6162172591043</v>
      </c>
      <c r="L8" s="24">
        <f t="shared" si="2"/>
        <v>425.84175101025215</v>
      </c>
      <c r="M8" s="24">
        <f t="shared" si="2"/>
        <v>449.66289386456424</v>
      </c>
      <c r="N8" s="24">
        <f t="shared" si="2"/>
        <v>474.05101761972276</v>
      </c>
      <c r="O8" s="24">
        <f t="shared" si="2"/>
        <v>498.97687138438732</v>
      </c>
      <c r="P8" s="24">
        <f t="shared" si="2"/>
        <v>524.41088141458431</v>
      </c>
      <c r="Q8" s="24">
        <f t="shared" si="2"/>
        <v>550.32343040953219</v>
      </c>
      <c r="R8" s="24">
        <f t="shared" si="2"/>
        <v>576.68511268825023</v>
      </c>
      <c r="S8" s="24">
        <f t="shared" si="2"/>
        <v>603.46696270858706</v>
      </c>
      <c r="T8" s="24">
        <f t="shared" si="2"/>
        <v>630.64065538406112</v>
      </c>
      <c r="U8" s="24">
        <f t="shared" si="2"/>
        <v>658.17867756659916</v>
      </c>
    </row>
    <row r="9" spans="2:21">
      <c r="B9" s="25">
        <f t="shared" si="3"/>
        <v>100000</v>
      </c>
      <c r="C9" s="25">
        <f t="shared" si="2"/>
        <v>321.63952044647004</v>
      </c>
      <c r="D9" s="25">
        <f t="shared" si="2"/>
        <v>345.12021045762697</v>
      </c>
      <c r="E9" s="25">
        <f t="shared" si="2"/>
        <v>369.61947268882057</v>
      </c>
      <c r="F9" s="25">
        <f t="shared" si="2"/>
        <v>395.12089881773204</v>
      </c>
      <c r="G9" s="25">
        <f t="shared" si="2"/>
        <v>421.60403372945046</v>
      </c>
      <c r="H9" s="25">
        <f t="shared" si="2"/>
        <v>449.04468780882451</v>
      </c>
      <c r="I9" s="25">
        <f t="shared" si="2"/>
        <v>477.41529546545945</v>
      </c>
      <c r="J9" s="25">
        <f t="shared" si="2"/>
        <v>506.68530982588061</v>
      </c>
      <c r="K9" s="25">
        <f t="shared" si="2"/>
        <v>536.82162301213907</v>
      </c>
      <c r="L9" s="25">
        <f t="shared" si="2"/>
        <v>567.7890013470028</v>
      </c>
      <c r="M9" s="25">
        <f t="shared" si="2"/>
        <v>599.55052515275224</v>
      </c>
      <c r="N9" s="25">
        <f t="shared" si="2"/>
        <v>632.06802349296368</v>
      </c>
      <c r="O9" s="25">
        <f t="shared" si="2"/>
        <v>665.3024951791831</v>
      </c>
      <c r="P9" s="25">
        <f t="shared" si="2"/>
        <v>699.21450855277919</v>
      </c>
      <c r="Q9" s="25">
        <f t="shared" si="2"/>
        <v>733.76457387937614</v>
      </c>
      <c r="R9" s="25">
        <f t="shared" si="2"/>
        <v>768.91348358433368</v>
      </c>
      <c r="S9" s="25">
        <f t="shared" si="2"/>
        <v>804.62261694478275</v>
      </c>
      <c r="T9" s="25">
        <f t="shared" si="2"/>
        <v>840.85420717874808</v>
      </c>
      <c r="U9" s="25">
        <f t="shared" si="2"/>
        <v>877.57157008879881</v>
      </c>
    </row>
    <row r="10" spans="2:21">
      <c r="B10" s="24">
        <f t="shared" si="3"/>
        <v>125000</v>
      </c>
      <c r="C10" s="24">
        <f t="shared" si="2"/>
        <v>402.0494005580876</v>
      </c>
      <c r="D10" s="24">
        <f t="shared" si="2"/>
        <v>431.40026307203362</v>
      </c>
      <c r="E10" s="24">
        <f t="shared" si="2"/>
        <v>462.02434086102568</v>
      </c>
      <c r="F10" s="24">
        <f t="shared" si="2"/>
        <v>493.90112352216505</v>
      </c>
      <c r="G10" s="24">
        <f t="shared" si="2"/>
        <v>527.00504216181309</v>
      </c>
      <c r="H10" s="24">
        <f t="shared" si="2"/>
        <v>561.30585976103055</v>
      </c>
      <c r="I10" s="24">
        <f t="shared" si="2"/>
        <v>596.76911933182441</v>
      </c>
      <c r="J10" s="24">
        <f t="shared" si="2"/>
        <v>633.3566372823509</v>
      </c>
      <c r="K10" s="24">
        <f t="shared" si="2"/>
        <v>671.02702876517378</v>
      </c>
      <c r="L10" s="24">
        <f t="shared" si="2"/>
        <v>709.73625168375361</v>
      </c>
      <c r="M10" s="24">
        <f t="shared" si="2"/>
        <v>749.43815644094036</v>
      </c>
      <c r="N10" s="24">
        <f t="shared" si="2"/>
        <v>790.08502936620448</v>
      </c>
      <c r="O10" s="24">
        <f t="shared" si="2"/>
        <v>831.62811897397887</v>
      </c>
      <c r="P10" s="24">
        <f t="shared" si="2"/>
        <v>874.01813569097408</v>
      </c>
      <c r="Q10" s="24">
        <f t="shared" si="2"/>
        <v>917.20571734922032</v>
      </c>
      <c r="R10" s="24">
        <f t="shared" si="2"/>
        <v>961.14185448041712</v>
      </c>
      <c r="S10" s="24">
        <f t="shared" si="2"/>
        <v>1005.7782711809783</v>
      </c>
      <c r="T10" s="24">
        <f t="shared" si="2"/>
        <v>1051.067758973435</v>
      </c>
      <c r="U10" s="24">
        <f t="shared" si="2"/>
        <v>1096.9644626109987</v>
      </c>
    </row>
    <row r="11" spans="2:21">
      <c r="B11" s="25">
        <f t="shared" si="3"/>
        <v>150000</v>
      </c>
      <c r="C11" s="25">
        <f t="shared" si="2"/>
        <v>482.45928066970509</v>
      </c>
      <c r="D11" s="25">
        <f t="shared" si="2"/>
        <v>517.68031568644039</v>
      </c>
      <c r="E11" s="25">
        <f t="shared" si="2"/>
        <v>554.42920903323079</v>
      </c>
      <c r="F11" s="25">
        <f t="shared" si="2"/>
        <v>592.68134822659795</v>
      </c>
      <c r="G11" s="25">
        <f t="shared" si="2"/>
        <v>632.40605059417567</v>
      </c>
      <c r="H11" s="25">
        <f t="shared" si="2"/>
        <v>673.5670317132367</v>
      </c>
      <c r="I11" s="25">
        <f t="shared" si="2"/>
        <v>716.12294319818932</v>
      </c>
      <c r="J11" s="25">
        <f t="shared" si="2"/>
        <v>760.02796473882097</v>
      </c>
      <c r="K11" s="25">
        <f t="shared" si="2"/>
        <v>805.23243451820861</v>
      </c>
      <c r="L11" s="25">
        <f t="shared" si="2"/>
        <v>851.68350202050431</v>
      </c>
      <c r="M11" s="25">
        <f t="shared" si="2"/>
        <v>899.32578772912848</v>
      </c>
      <c r="N11" s="25">
        <f t="shared" si="2"/>
        <v>948.10203523944551</v>
      </c>
      <c r="O11" s="25">
        <f t="shared" si="2"/>
        <v>997.95374276877465</v>
      </c>
      <c r="P11" s="25">
        <f t="shared" si="2"/>
        <v>1048.8217628291686</v>
      </c>
      <c r="Q11" s="25">
        <f t="shared" si="2"/>
        <v>1100.6468608190644</v>
      </c>
      <c r="R11" s="25">
        <f t="shared" si="2"/>
        <v>1153.3702253765005</v>
      </c>
      <c r="S11" s="25">
        <f t="shared" si="2"/>
        <v>1206.9339254171741</v>
      </c>
      <c r="T11" s="25">
        <f t="shared" si="2"/>
        <v>1261.2813107681222</v>
      </c>
      <c r="U11" s="25">
        <f t="shared" si="2"/>
        <v>1316.3573551331983</v>
      </c>
    </row>
    <row r="12" spans="2:21">
      <c r="B12" s="24">
        <f t="shared" si="3"/>
        <v>175000</v>
      </c>
      <c r="C12" s="24">
        <f t="shared" si="2"/>
        <v>562.86916078132265</v>
      </c>
      <c r="D12" s="24">
        <f t="shared" si="2"/>
        <v>603.96036830084711</v>
      </c>
      <c r="E12" s="24">
        <f t="shared" si="2"/>
        <v>646.83407720543596</v>
      </c>
      <c r="F12" s="24">
        <f t="shared" si="2"/>
        <v>691.46157293103113</v>
      </c>
      <c r="G12" s="24">
        <f t="shared" si="2"/>
        <v>737.80705902653835</v>
      </c>
      <c r="H12" s="24">
        <f t="shared" si="2"/>
        <v>785.82820366544274</v>
      </c>
      <c r="I12" s="24">
        <f t="shared" si="2"/>
        <v>835.47676706455411</v>
      </c>
      <c r="J12" s="24">
        <f t="shared" si="2"/>
        <v>886.69929219529126</v>
      </c>
      <c r="K12" s="24">
        <f t="shared" si="2"/>
        <v>939.43784027124332</v>
      </c>
      <c r="L12" s="24">
        <f t="shared" si="2"/>
        <v>993.63075235725501</v>
      </c>
      <c r="M12" s="24">
        <f t="shared" si="2"/>
        <v>1049.2134190173165</v>
      </c>
      <c r="N12" s="24">
        <f t="shared" si="2"/>
        <v>1106.1190411126865</v>
      </c>
      <c r="O12" s="24">
        <f t="shared" si="2"/>
        <v>1164.2793665635704</v>
      </c>
      <c r="P12" s="24">
        <f t="shared" si="2"/>
        <v>1223.6253899673636</v>
      </c>
      <c r="Q12" s="24">
        <f t="shared" si="2"/>
        <v>1284.0880042889082</v>
      </c>
      <c r="R12" s="24">
        <f t="shared" si="2"/>
        <v>1345.5985962725838</v>
      </c>
      <c r="S12" s="24">
        <f t="shared" si="2"/>
        <v>1408.0895796533698</v>
      </c>
      <c r="T12" s="24">
        <f t="shared" si="2"/>
        <v>1471.4948625628092</v>
      </c>
      <c r="U12" s="24">
        <f t="shared" si="2"/>
        <v>1535.7502476553982</v>
      </c>
    </row>
    <row r="13" spans="2:21">
      <c r="B13" s="25">
        <f t="shared" si="3"/>
        <v>200000</v>
      </c>
      <c r="C13" s="25">
        <f t="shared" si="2"/>
        <v>643.27904089294009</v>
      </c>
      <c r="D13" s="25">
        <f t="shared" si="2"/>
        <v>690.24042091525394</v>
      </c>
      <c r="E13" s="25">
        <f t="shared" si="2"/>
        <v>739.23894537764113</v>
      </c>
      <c r="F13" s="25">
        <f t="shared" si="2"/>
        <v>790.24179763546408</v>
      </c>
      <c r="G13" s="25">
        <f t="shared" si="2"/>
        <v>843.20806745890093</v>
      </c>
      <c r="H13" s="25">
        <f t="shared" si="2"/>
        <v>898.08937561764901</v>
      </c>
      <c r="I13" s="25">
        <f t="shared" si="2"/>
        <v>954.8305909309189</v>
      </c>
      <c r="J13" s="25">
        <f t="shared" si="2"/>
        <v>1013.3706196517612</v>
      </c>
      <c r="K13" s="25">
        <f t="shared" si="2"/>
        <v>1073.6432460242781</v>
      </c>
      <c r="L13" s="25">
        <f t="shared" si="2"/>
        <v>1135.5780026940056</v>
      </c>
      <c r="M13" s="25">
        <f t="shared" si="2"/>
        <v>1199.1010503055045</v>
      </c>
      <c r="N13" s="25">
        <f t="shared" si="2"/>
        <v>1264.1360469859274</v>
      </c>
      <c r="O13" s="25">
        <f t="shared" si="2"/>
        <v>1330.6049903583662</v>
      </c>
      <c r="P13" s="25">
        <f t="shared" si="2"/>
        <v>1398.4290171055584</v>
      </c>
      <c r="Q13" s="25">
        <f t="shared" si="2"/>
        <v>1467.5291477587523</v>
      </c>
      <c r="R13" s="25">
        <f t="shared" si="2"/>
        <v>1537.8269671686674</v>
      </c>
      <c r="S13" s="25">
        <f t="shared" si="2"/>
        <v>1609.2452338895655</v>
      </c>
      <c r="T13" s="25">
        <f t="shared" si="2"/>
        <v>1681.7084143574962</v>
      </c>
      <c r="U13" s="25">
        <f t="shared" si="2"/>
        <v>1755.1431401775976</v>
      </c>
    </row>
    <row r="14" spans="2:21">
      <c r="B14" s="24">
        <f t="shared" si="3"/>
        <v>225000</v>
      </c>
      <c r="C14" s="24">
        <f t="shared" si="2"/>
        <v>723.68892100455764</v>
      </c>
      <c r="D14" s="24">
        <f t="shared" si="2"/>
        <v>776.52047352966053</v>
      </c>
      <c r="E14" s="24">
        <f t="shared" si="2"/>
        <v>831.64381354984619</v>
      </c>
      <c r="F14" s="24">
        <f t="shared" si="2"/>
        <v>889.02202233989703</v>
      </c>
      <c r="G14" s="24">
        <f t="shared" si="2"/>
        <v>948.60907589126361</v>
      </c>
      <c r="H14" s="24">
        <f t="shared" si="2"/>
        <v>1010.3505475698551</v>
      </c>
      <c r="I14" s="24">
        <f t="shared" si="2"/>
        <v>1074.1844147972838</v>
      </c>
      <c r="J14" s="24">
        <f t="shared" si="2"/>
        <v>1140.0419471082314</v>
      </c>
      <c r="K14" s="24">
        <f t="shared" si="2"/>
        <v>1207.8486517773129</v>
      </c>
      <c r="L14" s="24">
        <f t="shared" si="2"/>
        <v>1277.5252530307564</v>
      </c>
      <c r="M14" s="24">
        <f t="shared" si="2"/>
        <v>1348.9886815936925</v>
      </c>
      <c r="N14" s="24">
        <f t="shared" si="2"/>
        <v>1422.1530528591682</v>
      </c>
      <c r="O14" s="24">
        <f t="shared" si="2"/>
        <v>1496.930614153162</v>
      </c>
      <c r="P14" s="24">
        <f t="shared" si="2"/>
        <v>1573.2326442437532</v>
      </c>
      <c r="Q14" s="24">
        <f t="shared" si="2"/>
        <v>1650.9702912285964</v>
      </c>
      <c r="R14" s="24">
        <f t="shared" si="2"/>
        <v>1730.0553380647507</v>
      </c>
      <c r="S14" s="24">
        <f t="shared" si="2"/>
        <v>1810.4008881257612</v>
      </c>
      <c r="T14" s="24">
        <f t="shared" si="2"/>
        <v>1891.9219661521831</v>
      </c>
      <c r="U14" s="24">
        <f t="shared" si="2"/>
        <v>1974.5360326997973</v>
      </c>
    </row>
    <row r="15" spans="2:21">
      <c r="B15" s="25">
        <f t="shared" si="3"/>
        <v>250000</v>
      </c>
      <c r="C15" s="25">
        <f t="shared" si="2"/>
        <v>804.0988011161752</v>
      </c>
      <c r="D15" s="25">
        <f t="shared" si="2"/>
        <v>862.80052614406725</v>
      </c>
      <c r="E15" s="25">
        <f t="shared" si="2"/>
        <v>924.04868172205136</v>
      </c>
      <c r="F15" s="25">
        <f t="shared" si="2"/>
        <v>987.8022470443301</v>
      </c>
      <c r="G15" s="25">
        <f t="shared" si="2"/>
        <v>1054.0100843236262</v>
      </c>
      <c r="H15" s="25">
        <f t="shared" si="2"/>
        <v>1122.6117195220611</v>
      </c>
      <c r="I15" s="25">
        <f t="shared" si="2"/>
        <v>1193.5382386636488</v>
      </c>
      <c r="J15" s="25">
        <f t="shared" si="2"/>
        <v>1266.7132745647018</v>
      </c>
      <c r="K15" s="25">
        <f t="shared" si="2"/>
        <v>1342.0540575303476</v>
      </c>
      <c r="L15" s="25">
        <f t="shared" si="2"/>
        <v>1419.4725033675072</v>
      </c>
      <c r="M15" s="25">
        <f t="shared" si="2"/>
        <v>1498.8763128818807</v>
      </c>
      <c r="N15" s="25">
        <f t="shared" si="2"/>
        <v>1580.170058732409</v>
      </c>
      <c r="O15" s="25">
        <f t="shared" si="2"/>
        <v>1663.2562379479577</v>
      </c>
      <c r="P15" s="25">
        <f t="shared" si="2"/>
        <v>1748.0362713819482</v>
      </c>
      <c r="Q15" s="25">
        <f t="shared" si="2"/>
        <v>1834.4114346984406</v>
      </c>
      <c r="R15" s="25">
        <f t="shared" si="2"/>
        <v>1922.2837089608342</v>
      </c>
      <c r="S15" s="25">
        <f t="shared" si="2"/>
        <v>2011.5565423619566</v>
      </c>
      <c r="T15" s="25">
        <f t="shared" si="2"/>
        <v>2102.1355179468701</v>
      </c>
      <c r="U15" s="25">
        <f t="shared" si="2"/>
        <v>2193.9289252219974</v>
      </c>
    </row>
    <row r="16" spans="2:21">
      <c r="B16" s="24">
        <f t="shared" si="3"/>
        <v>275000</v>
      </c>
      <c r="C16" s="24">
        <f t="shared" si="2"/>
        <v>884.50868122779264</v>
      </c>
      <c r="D16" s="24">
        <f t="shared" si="2"/>
        <v>949.08057875847408</v>
      </c>
      <c r="E16" s="24">
        <f t="shared" si="2"/>
        <v>1016.4535498942565</v>
      </c>
      <c r="F16" s="24">
        <f t="shared" si="2"/>
        <v>1086.5824717487631</v>
      </c>
      <c r="G16" s="24">
        <f t="shared" si="2"/>
        <v>1159.4110927559889</v>
      </c>
      <c r="H16" s="24">
        <f t="shared" si="2"/>
        <v>1234.8728914742674</v>
      </c>
      <c r="I16" s="24">
        <f t="shared" si="2"/>
        <v>1312.8920625300136</v>
      </c>
      <c r="J16" s="24">
        <f t="shared" si="2"/>
        <v>1393.3846020211718</v>
      </c>
      <c r="K16" s="24">
        <f t="shared" si="2"/>
        <v>1476.2594632833825</v>
      </c>
      <c r="L16" s="24">
        <f t="shared" si="2"/>
        <v>1561.4197537042578</v>
      </c>
      <c r="M16" s="24">
        <f t="shared" si="2"/>
        <v>1648.7639441700687</v>
      </c>
      <c r="N16" s="24">
        <f t="shared" si="2"/>
        <v>1738.1870646056502</v>
      </c>
      <c r="O16" s="24">
        <f t="shared" si="2"/>
        <v>1829.5818617427535</v>
      </c>
      <c r="P16" s="24">
        <f t="shared" si="2"/>
        <v>1922.8398985201425</v>
      </c>
      <c r="Q16" s="24">
        <f t="shared" si="2"/>
        <v>2017.8525781682845</v>
      </c>
      <c r="R16" s="24">
        <f t="shared" si="2"/>
        <v>2114.5120798569174</v>
      </c>
      <c r="S16" s="24">
        <f t="shared" si="2"/>
        <v>2212.7121965981523</v>
      </c>
      <c r="T16" s="24">
        <f t="shared" si="2"/>
        <v>2312.3490697415573</v>
      </c>
      <c r="U16" s="24">
        <f t="shared" si="2"/>
        <v>2413.3218177441968</v>
      </c>
    </row>
    <row r="17" spans="2:21">
      <c r="B17" s="25">
        <f t="shared" si="3"/>
        <v>300000</v>
      </c>
      <c r="C17" s="25">
        <f t="shared" si="2"/>
        <v>964.91856133941019</v>
      </c>
      <c r="D17" s="25">
        <f t="shared" si="2"/>
        <v>1035.3606313728808</v>
      </c>
      <c r="E17" s="25">
        <f t="shared" si="2"/>
        <v>1108.8584180664616</v>
      </c>
      <c r="F17" s="25">
        <f t="shared" si="2"/>
        <v>1185.3626964531959</v>
      </c>
      <c r="G17" s="25">
        <f t="shared" si="2"/>
        <v>1264.8121011883513</v>
      </c>
      <c r="H17" s="25">
        <f t="shared" si="2"/>
        <v>1347.1340634264734</v>
      </c>
      <c r="I17" s="25">
        <f t="shared" si="2"/>
        <v>1432.2458863963786</v>
      </c>
      <c r="J17" s="25">
        <f t="shared" si="2"/>
        <v>1520.0559294776419</v>
      </c>
      <c r="K17" s="25">
        <f t="shared" si="2"/>
        <v>1610.4648690364172</v>
      </c>
      <c r="L17" s="25">
        <f t="shared" si="2"/>
        <v>1703.3670040410086</v>
      </c>
      <c r="M17" s="25">
        <f t="shared" si="2"/>
        <v>1798.651575458257</v>
      </c>
      <c r="N17" s="25">
        <f t="shared" si="2"/>
        <v>1896.204070478891</v>
      </c>
      <c r="O17" s="25">
        <f t="shared" si="2"/>
        <v>1995.9074855375493</v>
      </c>
      <c r="P17" s="25">
        <f t="shared" si="2"/>
        <v>2097.6435256583372</v>
      </c>
      <c r="Q17" s="25">
        <f t="shared" si="2"/>
        <v>2201.2937216381288</v>
      </c>
      <c r="R17" s="25">
        <f t="shared" si="2"/>
        <v>2306.7404507530009</v>
      </c>
      <c r="S17" s="25">
        <f t="shared" si="2"/>
        <v>2413.8678508343482</v>
      </c>
      <c r="T17" s="25">
        <f t="shared" si="2"/>
        <v>2522.5626215362445</v>
      </c>
      <c r="U17" s="25">
        <f t="shared" si="2"/>
        <v>2632.7147102663967</v>
      </c>
    </row>
    <row r="18" spans="2:21">
      <c r="B18" s="24">
        <f t="shared" si="3"/>
        <v>325000</v>
      </c>
      <c r="C18" s="24">
        <f t="shared" si="2"/>
        <v>1045.3284414510279</v>
      </c>
      <c r="D18" s="24">
        <f t="shared" si="2"/>
        <v>1121.6406839872875</v>
      </c>
      <c r="E18" s="24">
        <f t="shared" si="2"/>
        <v>1201.2632862386668</v>
      </c>
      <c r="F18" s="24">
        <f t="shared" si="2"/>
        <v>1284.142921157629</v>
      </c>
      <c r="G18" s="24">
        <f t="shared" si="2"/>
        <v>1370.213109620714</v>
      </c>
      <c r="H18" s="24">
        <f t="shared" si="2"/>
        <v>1459.3952353786794</v>
      </c>
      <c r="I18" s="24">
        <f t="shared" si="2"/>
        <v>1551.5997102627432</v>
      </c>
      <c r="J18" s="24">
        <f t="shared" si="2"/>
        <v>1646.7272569341123</v>
      </c>
      <c r="K18" s="24">
        <f t="shared" si="2"/>
        <v>1744.6702747894519</v>
      </c>
      <c r="L18" s="24">
        <f t="shared" si="2"/>
        <v>1845.3142543777592</v>
      </c>
      <c r="M18" s="24">
        <f t="shared" si="2"/>
        <v>1948.539206746445</v>
      </c>
      <c r="N18" s="24">
        <f t="shared" si="2"/>
        <v>2054.2210763521316</v>
      </c>
      <c r="O18" s="24">
        <f t="shared" si="2"/>
        <v>2162.2331093323451</v>
      </c>
      <c r="P18" s="24">
        <f t="shared" si="2"/>
        <v>2272.4471527965325</v>
      </c>
      <c r="Q18" s="24">
        <f t="shared" si="2"/>
        <v>2384.7348651079728</v>
      </c>
      <c r="R18" s="24">
        <f t="shared" si="2"/>
        <v>2498.9688216490845</v>
      </c>
      <c r="S18" s="24">
        <f t="shared" si="2"/>
        <v>2615.0235050705437</v>
      </c>
      <c r="T18" s="24">
        <f t="shared" si="2"/>
        <v>2732.7761733309312</v>
      </c>
      <c r="U18" s="24">
        <f t="shared" si="2"/>
        <v>2852.1076027885961</v>
      </c>
    </row>
    <row r="19" spans="2:21">
      <c r="B19" s="25">
        <f t="shared" si="3"/>
        <v>350000</v>
      </c>
      <c r="C19" s="25">
        <f t="shared" ref="C19:R34" si="4">-PMT(C$5/12,360,$B19,0,0)</f>
        <v>1125.7383215626453</v>
      </c>
      <c r="D19" s="25">
        <f t="shared" si="4"/>
        <v>1207.9207366016942</v>
      </c>
      <c r="E19" s="25">
        <f t="shared" si="4"/>
        <v>1293.6681544108719</v>
      </c>
      <c r="F19" s="25">
        <f t="shared" si="4"/>
        <v>1382.9231458620623</v>
      </c>
      <c r="G19" s="25">
        <f t="shared" si="4"/>
        <v>1475.6141180530767</v>
      </c>
      <c r="H19" s="25">
        <f t="shared" si="4"/>
        <v>1571.6564073308855</v>
      </c>
      <c r="I19" s="25">
        <f t="shared" si="4"/>
        <v>1670.9535341291082</v>
      </c>
      <c r="J19" s="25">
        <f t="shared" si="4"/>
        <v>1773.3985843905825</v>
      </c>
      <c r="K19" s="25">
        <f t="shared" si="4"/>
        <v>1878.8756805424866</v>
      </c>
      <c r="L19" s="25">
        <f t="shared" si="4"/>
        <v>1987.26150471451</v>
      </c>
      <c r="M19" s="25">
        <f t="shared" si="4"/>
        <v>2098.426838034633</v>
      </c>
      <c r="N19" s="25">
        <f t="shared" si="4"/>
        <v>2212.2380822253731</v>
      </c>
      <c r="O19" s="25">
        <f t="shared" si="4"/>
        <v>2328.5587331271408</v>
      </c>
      <c r="P19" s="25">
        <f t="shared" si="4"/>
        <v>2447.2507799347272</v>
      </c>
      <c r="Q19" s="25">
        <f t="shared" si="4"/>
        <v>2568.1760085778164</v>
      </c>
      <c r="R19" s="25">
        <f t="shared" si="4"/>
        <v>2691.1971925451676</v>
      </c>
      <c r="S19" s="25">
        <f t="shared" si="2"/>
        <v>2816.1791593067396</v>
      </c>
      <c r="T19" s="25">
        <f t="shared" si="2"/>
        <v>2942.9897251256184</v>
      </c>
      <c r="U19" s="25">
        <f t="shared" si="2"/>
        <v>3071.5004953107964</v>
      </c>
    </row>
    <row r="20" spans="2:21">
      <c r="B20" s="24">
        <f t="shared" si="3"/>
        <v>375000</v>
      </c>
      <c r="C20" s="24">
        <f t="shared" si="4"/>
        <v>1206.1482016742627</v>
      </c>
      <c r="D20" s="24">
        <f t="shared" si="4"/>
        <v>1294.2007892161009</v>
      </c>
      <c r="E20" s="24">
        <f t="shared" si="4"/>
        <v>1386.0730225830771</v>
      </c>
      <c r="F20" s="24">
        <f t="shared" si="4"/>
        <v>1481.7033705664951</v>
      </c>
      <c r="G20" s="24">
        <f t="shared" si="4"/>
        <v>1581.0151264854394</v>
      </c>
      <c r="H20" s="24">
        <f t="shared" si="4"/>
        <v>1683.917579283092</v>
      </c>
      <c r="I20" s="24">
        <f t="shared" si="4"/>
        <v>1790.307357995473</v>
      </c>
      <c r="J20" s="24">
        <f t="shared" si="4"/>
        <v>1900.0699118470525</v>
      </c>
      <c r="K20" s="24">
        <f t="shared" si="4"/>
        <v>2013.0810862955216</v>
      </c>
      <c r="L20" s="24">
        <f t="shared" si="4"/>
        <v>2129.2087550512606</v>
      </c>
      <c r="M20" s="24">
        <f t="shared" si="4"/>
        <v>2248.314469322821</v>
      </c>
      <c r="N20" s="24">
        <f t="shared" si="4"/>
        <v>2370.2550880986137</v>
      </c>
      <c r="O20" s="24">
        <f t="shared" si="4"/>
        <v>2494.8843569219366</v>
      </c>
      <c r="P20" s="24">
        <f t="shared" si="4"/>
        <v>2622.054407072922</v>
      </c>
      <c r="Q20" s="24">
        <f t="shared" si="4"/>
        <v>2751.617152047661</v>
      </c>
      <c r="R20" s="24">
        <f t="shared" si="4"/>
        <v>2883.4255634412511</v>
      </c>
      <c r="S20" s="24">
        <f t="shared" si="2"/>
        <v>3017.3348135429351</v>
      </c>
      <c r="T20" s="24">
        <f t="shared" si="2"/>
        <v>3153.2032769203056</v>
      </c>
      <c r="U20" s="24">
        <f t="shared" si="2"/>
        <v>3290.8933878329958</v>
      </c>
    </row>
    <row r="21" spans="2:21">
      <c r="B21" s="25">
        <f t="shared" si="3"/>
        <v>400000</v>
      </c>
      <c r="C21" s="25">
        <f t="shared" si="4"/>
        <v>1286.5580817858802</v>
      </c>
      <c r="D21" s="25">
        <f t="shared" si="4"/>
        <v>1380.4808418305079</v>
      </c>
      <c r="E21" s="25">
        <f t="shared" si="4"/>
        <v>1478.4778907552823</v>
      </c>
      <c r="F21" s="25">
        <f t="shared" si="4"/>
        <v>1580.4835952709282</v>
      </c>
      <c r="G21" s="25">
        <f t="shared" si="4"/>
        <v>1686.4161349178019</v>
      </c>
      <c r="H21" s="25">
        <f t="shared" si="4"/>
        <v>1796.178751235298</v>
      </c>
      <c r="I21" s="25">
        <f t="shared" si="4"/>
        <v>1909.6611818618378</v>
      </c>
      <c r="J21" s="25">
        <f t="shared" si="4"/>
        <v>2026.7412393035224</v>
      </c>
      <c r="K21" s="25">
        <f t="shared" si="4"/>
        <v>2147.2864920485563</v>
      </c>
      <c r="L21" s="25">
        <f t="shared" si="4"/>
        <v>2271.1560053880112</v>
      </c>
      <c r="M21" s="25">
        <f t="shared" si="4"/>
        <v>2398.202100611009</v>
      </c>
      <c r="N21" s="25">
        <f t="shared" si="4"/>
        <v>2528.2720939718547</v>
      </c>
      <c r="O21" s="25">
        <f t="shared" si="4"/>
        <v>2661.2099807167324</v>
      </c>
      <c r="P21" s="25">
        <f t="shared" si="4"/>
        <v>2796.8580342111168</v>
      </c>
      <c r="Q21" s="25">
        <f t="shared" si="4"/>
        <v>2935.0582955175046</v>
      </c>
      <c r="R21" s="25">
        <f t="shared" si="4"/>
        <v>3075.6539343373347</v>
      </c>
      <c r="S21" s="25">
        <f t="shared" si="2"/>
        <v>3218.490467779131</v>
      </c>
      <c r="T21" s="25">
        <f t="shared" si="2"/>
        <v>3363.4168287149923</v>
      </c>
      <c r="U21" s="25">
        <f t="shared" ref="U21" si="5">-PMT(U$5/12,360,$B21,0,0)</f>
        <v>3510.2862803551952</v>
      </c>
    </row>
    <row r="22" spans="2:21">
      <c r="B22" s="24">
        <f t="shared" si="3"/>
        <v>425000</v>
      </c>
      <c r="C22" s="24">
        <f t="shared" si="4"/>
        <v>1366.9679618974978</v>
      </c>
      <c r="D22" s="24">
        <f t="shared" si="4"/>
        <v>1466.7608944449146</v>
      </c>
      <c r="E22" s="24">
        <f t="shared" si="4"/>
        <v>1570.8827589274872</v>
      </c>
      <c r="F22" s="24">
        <f t="shared" si="4"/>
        <v>1679.263819975361</v>
      </c>
      <c r="G22" s="24">
        <f t="shared" si="4"/>
        <v>1791.8171433501645</v>
      </c>
      <c r="H22" s="24">
        <f t="shared" si="4"/>
        <v>1908.4399231875041</v>
      </c>
      <c r="I22" s="24">
        <f t="shared" si="4"/>
        <v>2029.0150057282028</v>
      </c>
      <c r="J22" s="24">
        <f t="shared" si="4"/>
        <v>2153.4125667599928</v>
      </c>
      <c r="K22" s="24">
        <f t="shared" si="4"/>
        <v>2281.4918978015912</v>
      </c>
      <c r="L22" s="24">
        <f t="shared" si="4"/>
        <v>2413.1032557247618</v>
      </c>
      <c r="M22" s="24">
        <f t="shared" si="4"/>
        <v>2548.089731899197</v>
      </c>
      <c r="N22" s="24">
        <f t="shared" si="4"/>
        <v>2686.2890998450957</v>
      </c>
      <c r="O22" s="24">
        <f t="shared" si="4"/>
        <v>2827.5356045115282</v>
      </c>
      <c r="P22" s="24">
        <f t="shared" si="4"/>
        <v>2971.6616613493115</v>
      </c>
      <c r="Q22" s="24">
        <f t="shared" si="4"/>
        <v>3118.4994389873491</v>
      </c>
      <c r="R22" s="24">
        <f t="shared" si="4"/>
        <v>3267.8823052334178</v>
      </c>
      <c r="S22" s="24">
        <f t="shared" ref="S22:U34" si="6">-PMT(S$5/12,360,$B22,0,0)</f>
        <v>3419.6461220153265</v>
      </c>
      <c r="T22" s="24">
        <f t="shared" si="6"/>
        <v>3573.6303805096795</v>
      </c>
      <c r="U22" s="24">
        <f t="shared" si="6"/>
        <v>3729.6791728773951</v>
      </c>
    </row>
    <row r="23" spans="2:21">
      <c r="B23" s="25">
        <f t="shared" si="3"/>
        <v>450000</v>
      </c>
      <c r="C23" s="25">
        <f t="shared" si="4"/>
        <v>1447.3778420091153</v>
      </c>
      <c r="D23" s="25">
        <f t="shared" si="4"/>
        <v>1553.0409470593211</v>
      </c>
      <c r="E23" s="25">
        <f t="shared" si="4"/>
        <v>1663.2876270996924</v>
      </c>
      <c r="F23" s="25">
        <f t="shared" si="4"/>
        <v>1778.0440446797941</v>
      </c>
      <c r="G23" s="25">
        <f t="shared" si="4"/>
        <v>1897.2181517825272</v>
      </c>
      <c r="H23" s="25">
        <f t="shared" si="4"/>
        <v>2020.7010951397101</v>
      </c>
      <c r="I23" s="25">
        <f t="shared" si="4"/>
        <v>2148.3688295945676</v>
      </c>
      <c r="J23" s="25">
        <f t="shared" si="4"/>
        <v>2280.0838942164628</v>
      </c>
      <c r="K23" s="25">
        <f t="shared" si="4"/>
        <v>2415.6973035546257</v>
      </c>
      <c r="L23" s="25">
        <f t="shared" si="4"/>
        <v>2555.0505060615128</v>
      </c>
      <c r="M23" s="25">
        <f t="shared" si="4"/>
        <v>2697.977363187385</v>
      </c>
      <c r="N23" s="25">
        <f t="shared" si="4"/>
        <v>2844.3061057183363</v>
      </c>
      <c r="O23" s="25">
        <f t="shared" si="4"/>
        <v>2993.8612283063239</v>
      </c>
      <c r="P23" s="25">
        <f t="shared" si="4"/>
        <v>3146.4652884875063</v>
      </c>
      <c r="Q23" s="25">
        <f t="shared" si="4"/>
        <v>3301.9405824571927</v>
      </c>
      <c r="R23" s="25">
        <f t="shared" si="4"/>
        <v>3460.1106761295014</v>
      </c>
      <c r="S23" s="25">
        <f t="shared" si="6"/>
        <v>3620.8017762515224</v>
      </c>
      <c r="T23" s="25">
        <f t="shared" si="6"/>
        <v>3783.8439323043663</v>
      </c>
      <c r="U23" s="25">
        <f t="shared" si="6"/>
        <v>3949.0720653995945</v>
      </c>
    </row>
    <row r="24" spans="2:21">
      <c r="B24" s="24">
        <f t="shared" si="3"/>
        <v>475000</v>
      </c>
      <c r="C24" s="24">
        <f t="shared" si="4"/>
        <v>1527.7877221207327</v>
      </c>
      <c r="D24" s="24">
        <f t="shared" si="4"/>
        <v>1639.3209996737278</v>
      </c>
      <c r="E24" s="24">
        <f t="shared" si="4"/>
        <v>1755.6924952718973</v>
      </c>
      <c r="F24" s="24">
        <f t="shared" si="4"/>
        <v>1876.8242693842269</v>
      </c>
      <c r="G24" s="24">
        <f t="shared" si="4"/>
        <v>2002.6191602148899</v>
      </c>
      <c r="H24" s="24">
        <f t="shared" si="4"/>
        <v>2132.9622670919161</v>
      </c>
      <c r="I24" s="24">
        <f t="shared" si="4"/>
        <v>2267.7226534609326</v>
      </c>
      <c r="J24" s="24">
        <f t="shared" si="4"/>
        <v>2406.7552216729332</v>
      </c>
      <c r="K24" s="24">
        <f t="shared" si="4"/>
        <v>2549.9027093076606</v>
      </c>
      <c r="L24" s="24">
        <f t="shared" si="4"/>
        <v>2696.9977563982634</v>
      </c>
      <c r="M24" s="24">
        <f t="shared" si="4"/>
        <v>2847.8649944755734</v>
      </c>
      <c r="N24" s="24">
        <f t="shared" si="4"/>
        <v>3002.3231115915773</v>
      </c>
      <c r="O24" s="24">
        <f t="shared" si="4"/>
        <v>3160.1868521011197</v>
      </c>
      <c r="P24" s="24">
        <f t="shared" si="4"/>
        <v>3321.2689156257015</v>
      </c>
      <c r="Q24" s="24">
        <f t="shared" si="4"/>
        <v>3485.3817259270372</v>
      </c>
      <c r="R24" s="24">
        <f t="shared" si="4"/>
        <v>3652.3390470255849</v>
      </c>
      <c r="S24" s="24">
        <f t="shared" si="6"/>
        <v>3821.9574304877183</v>
      </c>
      <c r="T24" s="24">
        <f t="shared" si="6"/>
        <v>3994.0574840990535</v>
      </c>
      <c r="U24" s="24">
        <f t="shared" si="6"/>
        <v>4168.4649579217948</v>
      </c>
    </row>
    <row r="25" spans="2:21">
      <c r="B25" s="25">
        <f t="shared" si="3"/>
        <v>500000</v>
      </c>
      <c r="C25" s="25">
        <f t="shared" si="4"/>
        <v>1608.1976022323504</v>
      </c>
      <c r="D25" s="25">
        <f t="shared" si="4"/>
        <v>1725.6010522881345</v>
      </c>
      <c r="E25" s="25">
        <f t="shared" si="4"/>
        <v>1848.0973634441027</v>
      </c>
      <c r="F25" s="25">
        <f t="shared" si="4"/>
        <v>1975.6044940886602</v>
      </c>
      <c r="G25" s="25">
        <f t="shared" si="4"/>
        <v>2108.0201686472524</v>
      </c>
      <c r="H25" s="25">
        <f t="shared" si="4"/>
        <v>2245.2234390441222</v>
      </c>
      <c r="I25" s="25">
        <f t="shared" si="4"/>
        <v>2387.0764773272977</v>
      </c>
      <c r="J25" s="25">
        <f t="shared" si="4"/>
        <v>2533.4265491294036</v>
      </c>
      <c r="K25" s="25">
        <f t="shared" si="4"/>
        <v>2684.1081150606951</v>
      </c>
      <c r="L25" s="25">
        <f t="shared" si="4"/>
        <v>2838.9450067350144</v>
      </c>
      <c r="M25" s="25">
        <f t="shared" si="4"/>
        <v>2997.7526257637614</v>
      </c>
      <c r="N25" s="25">
        <f t="shared" si="4"/>
        <v>3160.3401174648179</v>
      </c>
      <c r="O25" s="25">
        <f t="shared" si="4"/>
        <v>3326.5124758959155</v>
      </c>
      <c r="P25" s="25">
        <f t="shared" si="4"/>
        <v>3496.0725427638963</v>
      </c>
      <c r="Q25" s="25">
        <f t="shared" si="4"/>
        <v>3668.8228693968813</v>
      </c>
      <c r="R25" s="25">
        <f t="shared" si="4"/>
        <v>3844.5674179216685</v>
      </c>
      <c r="S25" s="25">
        <f t="shared" si="6"/>
        <v>4023.1130847239133</v>
      </c>
      <c r="T25" s="25">
        <f t="shared" si="6"/>
        <v>4204.2710358937402</v>
      </c>
      <c r="U25" s="25">
        <f t="shared" si="6"/>
        <v>4387.8578504439947</v>
      </c>
    </row>
    <row r="26" spans="2:21">
      <c r="B26" s="24">
        <f t="shared" si="3"/>
        <v>525000</v>
      </c>
      <c r="C26" s="24">
        <f t="shared" si="4"/>
        <v>1688.6074823439678</v>
      </c>
      <c r="D26" s="24">
        <f t="shared" si="4"/>
        <v>1811.8811049025412</v>
      </c>
      <c r="E26" s="24">
        <f t="shared" si="4"/>
        <v>1940.5022316163077</v>
      </c>
      <c r="F26" s="24">
        <f t="shared" si="4"/>
        <v>2074.3847187930933</v>
      </c>
      <c r="G26" s="24">
        <f t="shared" si="4"/>
        <v>2213.4211770796151</v>
      </c>
      <c r="H26" s="24">
        <f t="shared" si="4"/>
        <v>2357.4846109963287</v>
      </c>
      <c r="I26" s="24">
        <f t="shared" si="4"/>
        <v>2506.4303011936622</v>
      </c>
      <c r="J26" s="24">
        <f t="shared" si="4"/>
        <v>2660.0978765858736</v>
      </c>
      <c r="K26" s="24">
        <f t="shared" si="4"/>
        <v>2818.3135208137301</v>
      </c>
      <c r="L26" s="24">
        <f t="shared" si="4"/>
        <v>2980.892257071765</v>
      </c>
      <c r="M26" s="24">
        <f t="shared" si="4"/>
        <v>3147.6402570519494</v>
      </c>
      <c r="N26" s="24">
        <f t="shared" si="4"/>
        <v>3318.357123338059</v>
      </c>
      <c r="O26" s="24">
        <f t="shared" si="4"/>
        <v>3492.8380996907113</v>
      </c>
      <c r="P26" s="24">
        <f t="shared" si="4"/>
        <v>3670.8761699020902</v>
      </c>
      <c r="Q26" s="24">
        <f t="shared" si="4"/>
        <v>3852.2640128667254</v>
      </c>
      <c r="R26" s="24">
        <f t="shared" si="4"/>
        <v>4036.7957888177516</v>
      </c>
      <c r="S26" s="24">
        <f t="shared" si="6"/>
        <v>4224.2687389601097</v>
      </c>
      <c r="T26" s="24">
        <f t="shared" si="6"/>
        <v>4414.4845876884274</v>
      </c>
      <c r="U26" s="24">
        <f t="shared" si="6"/>
        <v>4607.2507429661937</v>
      </c>
    </row>
    <row r="27" spans="2:21">
      <c r="B27" s="25">
        <f t="shared" si="3"/>
        <v>550000</v>
      </c>
      <c r="C27" s="25">
        <f t="shared" si="4"/>
        <v>1769.0173624555853</v>
      </c>
      <c r="D27" s="25">
        <f t="shared" si="4"/>
        <v>1898.1611575169482</v>
      </c>
      <c r="E27" s="25">
        <f t="shared" si="4"/>
        <v>2032.9070997885131</v>
      </c>
      <c r="F27" s="25">
        <f t="shared" si="4"/>
        <v>2173.1649434975261</v>
      </c>
      <c r="G27" s="25">
        <f t="shared" si="4"/>
        <v>2318.8221855119778</v>
      </c>
      <c r="H27" s="25">
        <f t="shared" si="4"/>
        <v>2469.7457829485347</v>
      </c>
      <c r="I27" s="25">
        <f t="shared" si="4"/>
        <v>2625.7841250600272</v>
      </c>
      <c r="J27" s="25">
        <f t="shared" si="4"/>
        <v>2786.7692040423435</v>
      </c>
      <c r="K27" s="25">
        <f t="shared" si="4"/>
        <v>2952.518926566765</v>
      </c>
      <c r="L27" s="25">
        <f t="shared" si="4"/>
        <v>3122.8395074085156</v>
      </c>
      <c r="M27" s="25">
        <f t="shared" si="4"/>
        <v>3297.5278883401375</v>
      </c>
      <c r="N27" s="25">
        <f t="shared" si="4"/>
        <v>3476.3741292113004</v>
      </c>
      <c r="O27" s="25">
        <f t="shared" si="4"/>
        <v>3659.163723485507</v>
      </c>
      <c r="P27" s="25">
        <f t="shared" si="4"/>
        <v>3845.6797970402849</v>
      </c>
      <c r="Q27" s="25">
        <f t="shared" si="4"/>
        <v>4035.705156336569</v>
      </c>
      <c r="R27" s="25">
        <f t="shared" si="4"/>
        <v>4229.0241597138347</v>
      </c>
      <c r="S27" s="25">
        <f t="shared" si="6"/>
        <v>4425.4243931963047</v>
      </c>
      <c r="T27" s="25">
        <f t="shared" si="6"/>
        <v>4624.6981394831146</v>
      </c>
      <c r="U27" s="25">
        <f t="shared" si="6"/>
        <v>4826.6436354883936</v>
      </c>
    </row>
    <row r="28" spans="2:21">
      <c r="B28" s="24">
        <f t="shared" si="3"/>
        <v>575000</v>
      </c>
      <c r="C28" s="24">
        <f t="shared" si="4"/>
        <v>1849.4272425672029</v>
      </c>
      <c r="D28" s="24">
        <f t="shared" si="4"/>
        <v>1984.4412101313549</v>
      </c>
      <c r="E28" s="24">
        <f t="shared" si="4"/>
        <v>2125.311967960718</v>
      </c>
      <c r="F28" s="24">
        <f t="shared" si="4"/>
        <v>2271.9451682019589</v>
      </c>
      <c r="G28" s="24">
        <f t="shared" si="4"/>
        <v>2424.2231939443404</v>
      </c>
      <c r="H28" s="24">
        <f t="shared" si="4"/>
        <v>2582.0069549007408</v>
      </c>
      <c r="I28" s="24">
        <f t="shared" si="4"/>
        <v>2745.1379489263923</v>
      </c>
      <c r="J28" s="24">
        <f t="shared" si="4"/>
        <v>2913.4405314988139</v>
      </c>
      <c r="K28" s="24">
        <f t="shared" si="4"/>
        <v>3086.7243323197995</v>
      </c>
      <c r="L28" s="24">
        <f t="shared" si="4"/>
        <v>3264.7867577452666</v>
      </c>
      <c r="M28" s="24">
        <f t="shared" si="4"/>
        <v>3447.4155196283259</v>
      </c>
      <c r="N28" s="24">
        <f t="shared" si="4"/>
        <v>3634.3911350845406</v>
      </c>
      <c r="O28" s="24">
        <f t="shared" si="4"/>
        <v>3825.4893472803028</v>
      </c>
      <c r="P28" s="24">
        <f t="shared" si="4"/>
        <v>4020.4834241784802</v>
      </c>
      <c r="Q28" s="24">
        <f t="shared" si="4"/>
        <v>4219.1462998064126</v>
      </c>
      <c r="R28" s="24">
        <f t="shared" si="4"/>
        <v>4421.2525306099187</v>
      </c>
      <c r="S28" s="24">
        <f t="shared" si="6"/>
        <v>4626.5800474325006</v>
      </c>
      <c r="T28" s="24">
        <f t="shared" si="6"/>
        <v>4834.9116912778018</v>
      </c>
      <c r="U28" s="24">
        <f t="shared" si="6"/>
        <v>5046.0365280105934</v>
      </c>
    </row>
    <row r="29" spans="2:21">
      <c r="B29" s="25">
        <f t="shared" si="3"/>
        <v>600000</v>
      </c>
      <c r="C29" s="25">
        <f t="shared" si="4"/>
        <v>1929.8371226788204</v>
      </c>
      <c r="D29" s="25">
        <f t="shared" si="4"/>
        <v>2070.7212627457616</v>
      </c>
      <c r="E29" s="25">
        <f t="shared" si="4"/>
        <v>2217.7168361329232</v>
      </c>
      <c r="F29" s="25">
        <f t="shared" si="4"/>
        <v>2370.7253929063918</v>
      </c>
      <c r="G29" s="25">
        <f t="shared" si="4"/>
        <v>2529.6242023767027</v>
      </c>
      <c r="H29" s="25">
        <f t="shared" si="4"/>
        <v>2694.2681268529468</v>
      </c>
      <c r="I29" s="25">
        <f t="shared" si="4"/>
        <v>2864.4917727927573</v>
      </c>
      <c r="J29" s="25">
        <f t="shared" si="4"/>
        <v>3040.1118589552839</v>
      </c>
      <c r="K29" s="25">
        <f t="shared" si="4"/>
        <v>3220.9297380728344</v>
      </c>
      <c r="L29" s="25">
        <f t="shared" si="4"/>
        <v>3406.7340080820172</v>
      </c>
      <c r="M29" s="25">
        <f t="shared" si="4"/>
        <v>3597.3031509165139</v>
      </c>
      <c r="N29" s="25">
        <f t="shared" si="4"/>
        <v>3792.4081409577821</v>
      </c>
      <c r="O29" s="25">
        <f t="shared" si="4"/>
        <v>3991.8149710750986</v>
      </c>
      <c r="P29" s="25">
        <f t="shared" si="4"/>
        <v>4195.2870513166745</v>
      </c>
      <c r="Q29" s="25">
        <f t="shared" si="4"/>
        <v>4402.5874432762575</v>
      </c>
      <c r="R29" s="25">
        <f t="shared" si="4"/>
        <v>4613.4809015060018</v>
      </c>
      <c r="S29" s="25">
        <f t="shared" si="6"/>
        <v>4827.7357016686965</v>
      </c>
      <c r="T29" s="25">
        <f t="shared" si="6"/>
        <v>5045.125243072489</v>
      </c>
      <c r="U29" s="25">
        <f t="shared" si="6"/>
        <v>5265.4294205327933</v>
      </c>
    </row>
    <row r="30" spans="2:21">
      <c r="B30" s="24">
        <f t="shared" si="3"/>
        <v>625000</v>
      </c>
      <c r="C30" s="24">
        <f t="shared" si="4"/>
        <v>2010.247002790438</v>
      </c>
      <c r="D30" s="24">
        <f t="shared" si="4"/>
        <v>2157.0013153601681</v>
      </c>
      <c r="E30" s="24">
        <f t="shared" si="4"/>
        <v>2310.1217043051283</v>
      </c>
      <c r="F30" s="24">
        <f t="shared" si="4"/>
        <v>2469.5056176108251</v>
      </c>
      <c r="G30" s="24">
        <f t="shared" si="4"/>
        <v>2635.0252108090658</v>
      </c>
      <c r="H30" s="24">
        <f t="shared" si="4"/>
        <v>2806.5292988051528</v>
      </c>
      <c r="I30" s="24">
        <f t="shared" si="4"/>
        <v>2983.8455966591218</v>
      </c>
      <c r="J30" s="24">
        <f t="shared" si="4"/>
        <v>3166.7831864117538</v>
      </c>
      <c r="K30" s="24">
        <f t="shared" si="4"/>
        <v>3355.1351438258694</v>
      </c>
      <c r="L30" s="24">
        <f t="shared" si="4"/>
        <v>3548.6812584187674</v>
      </c>
      <c r="M30" s="24">
        <f t="shared" si="4"/>
        <v>3747.1907822047019</v>
      </c>
      <c r="N30" s="24">
        <f t="shared" si="4"/>
        <v>3950.4251468310231</v>
      </c>
      <c r="O30" s="24">
        <f t="shared" si="4"/>
        <v>4158.1405948698948</v>
      </c>
      <c r="P30" s="24">
        <f t="shared" si="4"/>
        <v>4370.0906784548697</v>
      </c>
      <c r="Q30" s="24">
        <f t="shared" si="4"/>
        <v>4586.0285867461016</v>
      </c>
      <c r="R30" s="24">
        <f t="shared" si="4"/>
        <v>4805.7092724020849</v>
      </c>
      <c r="S30" s="24">
        <f t="shared" si="6"/>
        <v>5028.8913559048924</v>
      </c>
      <c r="T30" s="24">
        <f t="shared" si="6"/>
        <v>5255.3387948671752</v>
      </c>
      <c r="U30" s="24">
        <f t="shared" si="6"/>
        <v>5484.8223130549923</v>
      </c>
    </row>
    <row r="31" spans="2:21">
      <c r="B31" s="25">
        <f t="shared" si="3"/>
        <v>650000</v>
      </c>
      <c r="C31" s="25">
        <f t="shared" si="4"/>
        <v>2090.6568829020557</v>
      </c>
      <c r="D31" s="25">
        <f t="shared" si="4"/>
        <v>2243.281367974575</v>
      </c>
      <c r="E31" s="25">
        <f t="shared" si="4"/>
        <v>2402.5265724773335</v>
      </c>
      <c r="F31" s="25">
        <f t="shared" si="4"/>
        <v>2568.2858423152579</v>
      </c>
      <c r="G31" s="25">
        <f t="shared" si="4"/>
        <v>2740.426219241428</v>
      </c>
      <c r="H31" s="25">
        <f t="shared" si="4"/>
        <v>2918.7904707573589</v>
      </c>
      <c r="I31" s="25">
        <f t="shared" si="4"/>
        <v>3103.1994205254864</v>
      </c>
      <c r="J31" s="25">
        <f t="shared" si="4"/>
        <v>3293.4545138682247</v>
      </c>
      <c r="K31" s="25">
        <f t="shared" si="4"/>
        <v>3489.3405495789038</v>
      </c>
      <c r="L31" s="25">
        <f t="shared" si="4"/>
        <v>3690.6285087555184</v>
      </c>
      <c r="M31" s="25">
        <f t="shared" si="4"/>
        <v>3897.0784134928899</v>
      </c>
      <c r="N31" s="25">
        <f t="shared" si="4"/>
        <v>4108.4421527042632</v>
      </c>
      <c r="O31" s="25">
        <f t="shared" si="4"/>
        <v>4324.4662186646901</v>
      </c>
      <c r="P31" s="25">
        <f t="shared" si="4"/>
        <v>4544.8943055930649</v>
      </c>
      <c r="Q31" s="25">
        <f t="shared" si="4"/>
        <v>4769.4697302159457</v>
      </c>
      <c r="R31" s="25">
        <f t="shared" si="4"/>
        <v>4997.937643298169</v>
      </c>
      <c r="S31" s="25">
        <f t="shared" si="6"/>
        <v>5230.0470101410874</v>
      </c>
      <c r="T31" s="25">
        <f t="shared" si="6"/>
        <v>5465.5523466618624</v>
      </c>
      <c r="U31" s="25">
        <f t="shared" si="6"/>
        <v>5704.2152055771921</v>
      </c>
    </row>
    <row r="32" spans="2:21">
      <c r="B32" s="24">
        <f t="shared" si="3"/>
        <v>675000</v>
      </c>
      <c r="C32" s="24">
        <f t="shared" si="4"/>
        <v>2171.0667630136727</v>
      </c>
      <c r="D32" s="24">
        <f t="shared" si="4"/>
        <v>2329.5614205889819</v>
      </c>
      <c r="E32" s="24">
        <f t="shared" si="4"/>
        <v>2494.9314406495387</v>
      </c>
      <c r="F32" s="24">
        <f t="shared" si="4"/>
        <v>2667.0660670196908</v>
      </c>
      <c r="G32" s="24">
        <f t="shared" si="4"/>
        <v>2845.8272276737907</v>
      </c>
      <c r="H32" s="24">
        <f t="shared" si="4"/>
        <v>3031.0516427095654</v>
      </c>
      <c r="I32" s="24">
        <f t="shared" si="4"/>
        <v>3222.5532443918514</v>
      </c>
      <c r="J32" s="24">
        <f t="shared" si="4"/>
        <v>3420.1258413246946</v>
      </c>
      <c r="K32" s="24">
        <f t="shared" si="4"/>
        <v>3623.5459553319388</v>
      </c>
      <c r="L32" s="24">
        <f t="shared" si="4"/>
        <v>3832.575759092269</v>
      </c>
      <c r="M32" s="24">
        <f t="shared" si="4"/>
        <v>4046.9660447810784</v>
      </c>
      <c r="N32" s="24">
        <f t="shared" si="4"/>
        <v>4266.4591585775042</v>
      </c>
      <c r="O32" s="24">
        <f t="shared" si="4"/>
        <v>4490.7918424594864</v>
      </c>
      <c r="P32" s="24">
        <f t="shared" si="4"/>
        <v>4719.6979327312592</v>
      </c>
      <c r="Q32" s="24">
        <f t="shared" si="4"/>
        <v>4952.9108736857888</v>
      </c>
      <c r="R32" s="24">
        <f t="shared" si="4"/>
        <v>5190.1660141942521</v>
      </c>
      <c r="S32" s="24">
        <f t="shared" si="6"/>
        <v>5431.2026643772842</v>
      </c>
      <c r="T32" s="24">
        <f t="shared" si="6"/>
        <v>5675.7658984565496</v>
      </c>
      <c r="U32" s="24">
        <f t="shared" si="6"/>
        <v>5923.6080980993929</v>
      </c>
    </row>
    <row r="33" spans="2:21">
      <c r="B33" s="25">
        <f t="shared" si="3"/>
        <v>700000</v>
      </c>
      <c r="C33" s="25">
        <f t="shared" si="4"/>
        <v>2251.4766431252906</v>
      </c>
      <c r="D33" s="25">
        <f t="shared" si="4"/>
        <v>2415.8414732033884</v>
      </c>
      <c r="E33" s="25">
        <f t="shared" si="4"/>
        <v>2587.3363088217438</v>
      </c>
      <c r="F33" s="25">
        <f t="shared" si="4"/>
        <v>2765.8462917241245</v>
      </c>
      <c r="G33" s="25">
        <f t="shared" si="4"/>
        <v>2951.2282361061534</v>
      </c>
      <c r="H33" s="25">
        <f t="shared" si="4"/>
        <v>3143.312814661771</v>
      </c>
      <c r="I33" s="25">
        <f t="shared" si="4"/>
        <v>3341.9070682582164</v>
      </c>
      <c r="J33" s="25">
        <f t="shared" si="4"/>
        <v>3546.7971687811651</v>
      </c>
      <c r="K33" s="25">
        <f t="shared" si="4"/>
        <v>3757.7513610849733</v>
      </c>
      <c r="L33" s="25">
        <f t="shared" si="4"/>
        <v>3974.52300942902</v>
      </c>
      <c r="M33" s="25">
        <f t="shared" si="4"/>
        <v>4196.8536760692659</v>
      </c>
      <c r="N33" s="25">
        <f t="shared" si="4"/>
        <v>4424.4761644507462</v>
      </c>
      <c r="O33" s="25">
        <f t="shared" si="4"/>
        <v>4657.1174662542817</v>
      </c>
      <c r="P33" s="25">
        <f t="shared" si="4"/>
        <v>4894.5015598694545</v>
      </c>
      <c r="Q33" s="25">
        <f t="shared" si="4"/>
        <v>5136.3520171556329</v>
      </c>
      <c r="R33" s="25">
        <f t="shared" si="4"/>
        <v>5382.3943850903352</v>
      </c>
      <c r="S33" s="25">
        <f t="shared" si="6"/>
        <v>5632.3583186134792</v>
      </c>
      <c r="T33" s="25">
        <f t="shared" si="6"/>
        <v>5885.9794502512368</v>
      </c>
      <c r="U33" s="25">
        <f t="shared" si="6"/>
        <v>6143.0009906215928</v>
      </c>
    </row>
    <row r="34" spans="2:21">
      <c r="B34" s="24">
        <f t="shared" si="3"/>
        <v>725000</v>
      </c>
      <c r="C34" s="24">
        <f t="shared" si="4"/>
        <v>2331.886523236908</v>
      </c>
      <c r="D34" s="24">
        <f t="shared" si="4"/>
        <v>2502.1215258177954</v>
      </c>
      <c r="E34" s="24">
        <f t="shared" si="4"/>
        <v>2679.7411769939486</v>
      </c>
      <c r="F34" s="24">
        <f t="shared" si="4"/>
        <v>2864.6265164285574</v>
      </c>
      <c r="G34" s="24">
        <f t="shared" si="4"/>
        <v>3056.6292445385161</v>
      </c>
      <c r="H34" s="24">
        <f t="shared" si="4"/>
        <v>3255.573986613977</v>
      </c>
      <c r="I34" s="24">
        <f t="shared" si="4"/>
        <v>3461.2608921245815</v>
      </c>
      <c r="J34" s="24">
        <f t="shared" si="4"/>
        <v>3673.468496237635</v>
      </c>
      <c r="K34" s="24">
        <f t="shared" si="4"/>
        <v>3891.9567668380082</v>
      </c>
      <c r="L34" s="24">
        <f t="shared" si="4"/>
        <v>4116.4702597657706</v>
      </c>
      <c r="M34" s="24">
        <f t="shared" si="4"/>
        <v>4346.7413073574544</v>
      </c>
      <c r="N34" s="24">
        <f t="shared" si="4"/>
        <v>4582.4931703239872</v>
      </c>
      <c r="O34" s="24">
        <f t="shared" si="4"/>
        <v>4823.443090049077</v>
      </c>
      <c r="P34" s="24">
        <f t="shared" si="4"/>
        <v>5069.3051870076488</v>
      </c>
      <c r="Q34" s="24">
        <f t="shared" si="4"/>
        <v>5319.7931606254779</v>
      </c>
      <c r="R34" s="24">
        <f t="shared" ref="R34" si="7">-PMT(R$5/12,360,$B34,0,0)</f>
        <v>5574.6227559864192</v>
      </c>
      <c r="S34" s="24">
        <f t="shared" si="6"/>
        <v>5833.5139728496752</v>
      </c>
      <c r="T34" s="24">
        <f t="shared" si="6"/>
        <v>6096.193002045924</v>
      </c>
      <c r="U34" s="24">
        <f t="shared" si="6"/>
        <v>6362.3938831437918</v>
      </c>
    </row>
    <row r="35" spans="2:21">
      <c r="B35" s="25">
        <f t="shared" si="3"/>
        <v>750000</v>
      </c>
      <c r="C35" s="25">
        <f t="shared" ref="C35:U45" si="8">-PMT(C$5/12,360,$B35,0,0)</f>
        <v>2412.2964033485255</v>
      </c>
      <c r="D35" s="25">
        <f t="shared" si="8"/>
        <v>2588.4015784322019</v>
      </c>
      <c r="E35" s="25">
        <f t="shared" si="8"/>
        <v>2772.1460451661542</v>
      </c>
      <c r="F35" s="25">
        <f t="shared" si="8"/>
        <v>2963.4067411329902</v>
      </c>
      <c r="G35" s="25">
        <f t="shared" si="8"/>
        <v>3162.0302529708788</v>
      </c>
      <c r="H35" s="25">
        <f t="shared" si="8"/>
        <v>3367.835158566184</v>
      </c>
      <c r="I35" s="25">
        <f t="shared" si="8"/>
        <v>3580.614715990946</v>
      </c>
      <c r="J35" s="25">
        <f t="shared" si="8"/>
        <v>3800.139823694105</v>
      </c>
      <c r="K35" s="25">
        <f t="shared" si="8"/>
        <v>4026.1621725910431</v>
      </c>
      <c r="L35" s="25">
        <f t="shared" si="8"/>
        <v>4258.4175101025212</v>
      </c>
      <c r="M35" s="25">
        <f t="shared" si="8"/>
        <v>4496.6289386456419</v>
      </c>
      <c r="N35" s="25">
        <f t="shared" si="8"/>
        <v>4740.5101761972273</v>
      </c>
      <c r="O35" s="25">
        <f t="shared" si="8"/>
        <v>4989.7687138438732</v>
      </c>
      <c r="P35" s="25">
        <f t="shared" si="8"/>
        <v>5244.108814145844</v>
      </c>
      <c r="Q35" s="25">
        <f t="shared" si="8"/>
        <v>5503.2343040953219</v>
      </c>
      <c r="R35" s="25">
        <f t="shared" si="8"/>
        <v>5766.8511268825023</v>
      </c>
      <c r="S35" s="25">
        <f t="shared" si="8"/>
        <v>6034.6696270858702</v>
      </c>
      <c r="T35" s="25">
        <f t="shared" si="8"/>
        <v>6306.4065538406112</v>
      </c>
      <c r="U35" s="25">
        <f t="shared" si="8"/>
        <v>6581.7867756659916</v>
      </c>
    </row>
    <row r="36" spans="2:21">
      <c r="B36" s="24">
        <f t="shared" si="3"/>
        <v>775000</v>
      </c>
      <c r="C36" s="24">
        <f t="shared" si="8"/>
        <v>2492.7062834601434</v>
      </c>
      <c r="D36" s="24">
        <f t="shared" si="8"/>
        <v>2674.6816310466088</v>
      </c>
      <c r="E36" s="24">
        <f t="shared" si="8"/>
        <v>2864.5509133383589</v>
      </c>
      <c r="F36" s="24">
        <f t="shared" si="8"/>
        <v>3062.186965837423</v>
      </c>
      <c r="G36" s="24">
        <f t="shared" si="8"/>
        <v>3267.431261403241</v>
      </c>
      <c r="H36" s="24">
        <f t="shared" si="8"/>
        <v>3480.09633051839</v>
      </c>
      <c r="I36" s="24">
        <f t="shared" si="8"/>
        <v>3699.968539857311</v>
      </c>
      <c r="J36" s="24">
        <f t="shared" si="8"/>
        <v>3926.8111511505754</v>
      </c>
      <c r="K36" s="24">
        <f t="shared" si="8"/>
        <v>4160.3675783440776</v>
      </c>
      <c r="L36" s="24">
        <f t="shared" si="8"/>
        <v>4400.3647604392718</v>
      </c>
      <c r="M36" s="24">
        <f t="shared" si="8"/>
        <v>4646.5165699338304</v>
      </c>
      <c r="N36" s="24">
        <f t="shared" si="8"/>
        <v>4898.5271820704684</v>
      </c>
      <c r="O36" s="24">
        <f t="shared" si="8"/>
        <v>5156.0943376386685</v>
      </c>
      <c r="P36" s="24">
        <f t="shared" si="8"/>
        <v>5418.9124412840392</v>
      </c>
      <c r="Q36" s="24">
        <f t="shared" si="8"/>
        <v>5686.6754475651651</v>
      </c>
      <c r="R36" s="24">
        <f t="shared" si="8"/>
        <v>5959.0794977785854</v>
      </c>
      <c r="S36" s="24">
        <f t="shared" si="8"/>
        <v>6235.825281322067</v>
      </c>
      <c r="T36" s="24">
        <f t="shared" si="8"/>
        <v>6516.6201056352984</v>
      </c>
      <c r="U36" s="24">
        <f t="shared" si="8"/>
        <v>6801.1796681881915</v>
      </c>
    </row>
    <row r="37" spans="2:21">
      <c r="B37" s="25">
        <f t="shared" si="3"/>
        <v>800000</v>
      </c>
      <c r="C37" s="25">
        <f t="shared" si="8"/>
        <v>2573.1161635717604</v>
      </c>
      <c r="D37" s="25">
        <f t="shared" si="8"/>
        <v>2760.9616836610157</v>
      </c>
      <c r="E37" s="25">
        <f t="shared" si="8"/>
        <v>2956.9557815105645</v>
      </c>
      <c r="F37" s="25">
        <f t="shared" si="8"/>
        <v>3160.9671905418563</v>
      </c>
      <c r="G37" s="25">
        <f t="shared" si="8"/>
        <v>3372.8322698356037</v>
      </c>
      <c r="H37" s="25">
        <f t="shared" si="8"/>
        <v>3592.357502470596</v>
      </c>
      <c r="I37" s="25">
        <f t="shared" si="8"/>
        <v>3819.3223637236756</v>
      </c>
      <c r="J37" s="25">
        <f t="shared" si="8"/>
        <v>4053.4824786070449</v>
      </c>
      <c r="K37" s="25">
        <f t="shared" si="8"/>
        <v>4294.5729840971126</v>
      </c>
      <c r="L37" s="25">
        <f t="shared" si="8"/>
        <v>4542.3120107760224</v>
      </c>
      <c r="M37" s="25">
        <f t="shared" si="8"/>
        <v>4796.4042012220179</v>
      </c>
      <c r="N37" s="25">
        <f t="shared" si="8"/>
        <v>5056.5441879437094</v>
      </c>
      <c r="O37" s="25">
        <f t="shared" si="8"/>
        <v>5322.4199614334648</v>
      </c>
      <c r="P37" s="25">
        <f t="shared" si="8"/>
        <v>5593.7160684222335</v>
      </c>
      <c r="Q37" s="25">
        <f t="shared" si="8"/>
        <v>5870.1165910350092</v>
      </c>
      <c r="R37" s="25">
        <f t="shared" si="8"/>
        <v>6151.3078686746694</v>
      </c>
      <c r="S37" s="25">
        <f t="shared" si="8"/>
        <v>6436.980935558262</v>
      </c>
      <c r="T37" s="25">
        <f t="shared" si="8"/>
        <v>6726.8336574299847</v>
      </c>
      <c r="U37" s="25">
        <f t="shared" si="8"/>
        <v>7020.5725607103905</v>
      </c>
    </row>
    <row r="38" spans="2:21">
      <c r="B38" s="24">
        <f t="shared" si="3"/>
        <v>825000</v>
      </c>
      <c r="C38" s="24">
        <f t="shared" si="8"/>
        <v>2653.5260436833778</v>
      </c>
      <c r="D38" s="24">
        <f t="shared" si="8"/>
        <v>2847.2417362754222</v>
      </c>
      <c r="E38" s="24">
        <f t="shared" si="8"/>
        <v>3049.3606496827692</v>
      </c>
      <c r="F38" s="24">
        <f t="shared" si="8"/>
        <v>3259.7474152462892</v>
      </c>
      <c r="G38" s="24">
        <f t="shared" si="8"/>
        <v>3478.2332782679664</v>
      </c>
      <c r="H38" s="24">
        <f t="shared" si="8"/>
        <v>3704.6186744228021</v>
      </c>
      <c r="I38" s="24">
        <f t="shared" si="8"/>
        <v>3938.6761875900411</v>
      </c>
      <c r="J38" s="24">
        <f t="shared" si="8"/>
        <v>4180.1538060635157</v>
      </c>
      <c r="K38" s="24">
        <f t="shared" si="8"/>
        <v>4428.7783898501475</v>
      </c>
      <c r="L38" s="24">
        <f t="shared" si="8"/>
        <v>4684.2592611127729</v>
      </c>
      <c r="M38" s="24">
        <f t="shared" si="8"/>
        <v>4946.2918325102064</v>
      </c>
      <c r="N38" s="24">
        <f t="shared" si="8"/>
        <v>5214.5611938169504</v>
      </c>
      <c r="O38" s="24">
        <f t="shared" si="8"/>
        <v>5488.7455852282601</v>
      </c>
      <c r="P38" s="24">
        <f t="shared" si="8"/>
        <v>5768.5196955604288</v>
      </c>
      <c r="Q38" s="24">
        <f t="shared" si="8"/>
        <v>6053.5577345048541</v>
      </c>
      <c r="R38" s="24">
        <f t="shared" si="8"/>
        <v>6343.5362395707525</v>
      </c>
      <c r="S38" s="24">
        <f t="shared" si="8"/>
        <v>6638.1365897944579</v>
      </c>
      <c r="T38" s="24">
        <f t="shared" si="8"/>
        <v>6937.0472092246719</v>
      </c>
      <c r="U38" s="24">
        <f t="shared" si="8"/>
        <v>7239.9654532325903</v>
      </c>
    </row>
    <row r="39" spans="2:21">
      <c r="B39" s="25">
        <f t="shared" si="3"/>
        <v>850000</v>
      </c>
      <c r="C39" s="25">
        <f t="shared" si="8"/>
        <v>2733.9359237949957</v>
      </c>
      <c r="D39" s="25">
        <f t="shared" si="8"/>
        <v>2933.5217888898292</v>
      </c>
      <c r="E39" s="25">
        <f t="shared" si="8"/>
        <v>3141.7655178549744</v>
      </c>
      <c r="F39" s="25">
        <f t="shared" si="8"/>
        <v>3358.527639950722</v>
      </c>
      <c r="G39" s="25">
        <f t="shared" si="8"/>
        <v>3583.6342867003291</v>
      </c>
      <c r="H39" s="25">
        <f t="shared" si="8"/>
        <v>3816.8798463750081</v>
      </c>
      <c r="I39" s="25">
        <f t="shared" si="8"/>
        <v>4058.0300114564056</v>
      </c>
      <c r="J39" s="25">
        <f t="shared" si="8"/>
        <v>4306.8251335199857</v>
      </c>
      <c r="K39" s="25">
        <f t="shared" si="8"/>
        <v>4562.9837956031824</v>
      </c>
      <c r="L39" s="25">
        <f t="shared" si="8"/>
        <v>4826.2065114495235</v>
      </c>
      <c r="M39" s="25">
        <f t="shared" si="8"/>
        <v>5096.179463798394</v>
      </c>
      <c r="N39" s="25">
        <f t="shared" si="8"/>
        <v>5372.5781996901915</v>
      </c>
      <c r="O39" s="25">
        <f t="shared" si="8"/>
        <v>5655.0712090230563</v>
      </c>
      <c r="P39" s="25">
        <f t="shared" si="8"/>
        <v>5943.3233226986231</v>
      </c>
      <c r="Q39" s="25">
        <f t="shared" si="8"/>
        <v>6236.9988779746982</v>
      </c>
      <c r="R39" s="25">
        <f t="shared" si="8"/>
        <v>6535.7646104668356</v>
      </c>
      <c r="S39" s="25">
        <f t="shared" si="8"/>
        <v>6839.2922440306529</v>
      </c>
      <c r="T39" s="25">
        <f t="shared" si="8"/>
        <v>7147.2607610193591</v>
      </c>
      <c r="U39" s="25">
        <f t="shared" si="8"/>
        <v>7459.3583457547902</v>
      </c>
    </row>
    <row r="40" spans="2:21">
      <c r="B40" s="24">
        <f t="shared" si="3"/>
        <v>875000</v>
      </c>
      <c r="C40" s="24">
        <f t="shared" si="8"/>
        <v>2814.3458039066131</v>
      </c>
      <c r="D40" s="24">
        <f t="shared" si="8"/>
        <v>3019.8018415042357</v>
      </c>
      <c r="E40" s="24">
        <f t="shared" si="8"/>
        <v>3234.1703860271796</v>
      </c>
      <c r="F40" s="24">
        <f t="shared" si="8"/>
        <v>3457.3078646551548</v>
      </c>
      <c r="G40" s="24">
        <f t="shared" si="8"/>
        <v>3689.0352951326913</v>
      </c>
      <c r="H40" s="24">
        <f t="shared" si="8"/>
        <v>3929.1410183272142</v>
      </c>
      <c r="I40" s="24">
        <f t="shared" si="8"/>
        <v>4177.3838353227702</v>
      </c>
      <c r="J40" s="24">
        <f t="shared" si="8"/>
        <v>4433.4964609764556</v>
      </c>
      <c r="K40" s="24">
        <f t="shared" si="8"/>
        <v>4697.1892013562174</v>
      </c>
      <c r="L40" s="24">
        <f t="shared" si="8"/>
        <v>4968.153761786275</v>
      </c>
      <c r="M40" s="24">
        <f t="shared" si="8"/>
        <v>5246.0670950865833</v>
      </c>
      <c r="N40" s="24">
        <f t="shared" si="8"/>
        <v>5530.5952055634325</v>
      </c>
      <c r="O40" s="24">
        <f t="shared" si="8"/>
        <v>5821.3968328178516</v>
      </c>
      <c r="P40" s="24">
        <f t="shared" si="8"/>
        <v>6118.1269498368174</v>
      </c>
      <c r="Q40" s="24">
        <f t="shared" si="8"/>
        <v>6420.4400214445413</v>
      </c>
      <c r="R40" s="24">
        <f t="shared" si="8"/>
        <v>6727.9929813629196</v>
      </c>
      <c r="S40" s="24">
        <f t="shared" si="8"/>
        <v>7040.4478982668497</v>
      </c>
      <c r="T40" s="24">
        <f t="shared" si="8"/>
        <v>7357.4743128140453</v>
      </c>
      <c r="U40" s="24">
        <f t="shared" si="8"/>
        <v>7678.7512382769901</v>
      </c>
    </row>
    <row r="41" spans="2:21">
      <c r="B41" s="25">
        <f t="shared" si="3"/>
        <v>900000</v>
      </c>
      <c r="C41" s="25">
        <f t="shared" si="8"/>
        <v>2894.7556840182306</v>
      </c>
      <c r="D41" s="25">
        <f t="shared" si="8"/>
        <v>3106.0818941186421</v>
      </c>
      <c r="E41" s="25">
        <f t="shared" si="8"/>
        <v>3326.5752541993847</v>
      </c>
      <c r="F41" s="25">
        <f t="shared" si="8"/>
        <v>3556.0880893595881</v>
      </c>
      <c r="G41" s="25">
        <f t="shared" si="8"/>
        <v>3794.4363035650545</v>
      </c>
      <c r="H41" s="25">
        <f t="shared" si="8"/>
        <v>4041.4021902794202</v>
      </c>
      <c r="I41" s="25">
        <f t="shared" si="8"/>
        <v>4296.7376591891352</v>
      </c>
      <c r="J41" s="25">
        <f t="shared" si="8"/>
        <v>4560.1677884329256</v>
      </c>
      <c r="K41" s="25">
        <f t="shared" si="8"/>
        <v>4831.3946071092514</v>
      </c>
      <c r="L41" s="25">
        <f t="shared" si="8"/>
        <v>5110.1010121230256</v>
      </c>
      <c r="M41" s="25">
        <f t="shared" si="8"/>
        <v>5395.95472637477</v>
      </c>
      <c r="N41" s="25">
        <f t="shared" si="8"/>
        <v>5688.6122114366726</v>
      </c>
      <c r="O41" s="25">
        <f t="shared" si="8"/>
        <v>5987.7224566126479</v>
      </c>
      <c r="P41" s="25">
        <f t="shared" si="8"/>
        <v>6292.9305769750126</v>
      </c>
      <c r="Q41" s="25">
        <f t="shared" si="8"/>
        <v>6603.8811649143854</v>
      </c>
      <c r="R41" s="25">
        <f t="shared" si="8"/>
        <v>6920.2213522590027</v>
      </c>
      <c r="S41" s="25">
        <f t="shared" si="8"/>
        <v>7241.6035525030447</v>
      </c>
      <c r="T41" s="25">
        <f t="shared" si="8"/>
        <v>7567.6878646087325</v>
      </c>
      <c r="U41" s="25">
        <f t="shared" si="8"/>
        <v>7898.144130799189</v>
      </c>
    </row>
    <row r="42" spans="2:21">
      <c r="B42" s="24">
        <f t="shared" si="3"/>
        <v>925000</v>
      </c>
      <c r="C42" s="24">
        <f t="shared" si="8"/>
        <v>2975.1655641298485</v>
      </c>
      <c r="D42" s="24">
        <f t="shared" si="8"/>
        <v>3192.3619467330491</v>
      </c>
      <c r="E42" s="24">
        <f t="shared" si="8"/>
        <v>3418.9801223715899</v>
      </c>
      <c r="F42" s="24">
        <f t="shared" si="8"/>
        <v>3654.868314064021</v>
      </c>
      <c r="G42" s="24">
        <f t="shared" si="8"/>
        <v>3899.8373119974171</v>
      </c>
      <c r="H42" s="24">
        <f t="shared" si="8"/>
        <v>4153.6633622316267</v>
      </c>
      <c r="I42" s="24">
        <f t="shared" si="8"/>
        <v>4416.0914830555002</v>
      </c>
      <c r="J42" s="24">
        <f t="shared" si="8"/>
        <v>4686.8391158893965</v>
      </c>
      <c r="K42" s="24">
        <f t="shared" si="8"/>
        <v>4965.6000128622863</v>
      </c>
      <c r="L42" s="24">
        <f t="shared" si="8"/>
        <v>5252.0482624597762</v>
      </c>
      <c r="M42" s="24">
        <f t="shared" si="8"/>
        <v>5545.8423576629584</v>
      </c>
      <c r="N42" s="24">
        <f t="shared" si="8"/>
        <v>5846.6292173099137</v>
      </c>
      <c r="O42" s="24">
        <f t="shared" si="8"/>
        <v>6154.0480804074441</v>
      </c>
      <c r="P42" s="24">
        <f t="shared" si="8"/>
        <v>6467.7342041132069</v>
      </c>
      <c r="Q42" s="24">
        <f t="shared" si="8"/>
        <v>6787.3223083842304</v>
      </c>
      <c r="R42" s="24">
        <f t="shared" si="8"/>
        <v>7112.4497231550858</v>
      </c>
      <c r="S42" s="24">
        <f t="shared" si="8"/>
        <v>7442.7592067392407</v>
      </c>
      <c r="T42" s="24">
        <f t="shared" si="8"/>
        <v>7777.9014164034197</v>
      </c>
      <c r="U42" s="24">
        <f t="shared" si="8"/>
        <v>8117.5370233213898</v>
      </c>
    </row>
    <row r="43" spans="2:21">
      <c r="B43" s="25">
        <f t="shared" si="3"/>
        <v>950000</v>
      </c>
      <c r="C43" s="25">
        <f t="shared" si="8"/>
        <v>3055.5754442414654</v>
      </c>
      <c r="D43" s="25">
        <f t="shared" si="8"/>
        <v>3278.6419993474556</v>
      </c>
      <c r="E43" s="25">
        <f t="shared" si="8"/>
        <v>3511.3849905437946</v>
      </c>
      <c r="F43" s="25">
        <f t="shared" si="8"/>
        <v>3753.6485387684538</v>
      </c>
      <c r="G43" s="25">
        <f t="shared" si="8"/>
        <v>4005.2383204297798</v>
      </c>
      <c r="H43" s="25">
        <f t="shared" si="8"/>
        <v>4265.9245341838323</v>
      </c>
      <c r="I43" s="25">
        <f t="shared" si="8"/>
        <v>4535.4453069218653</v>
      </c>
      <c r="J43" s="25">
        <f t="shared" si="8"/>
        <v>4813.5104433458664</v>
      </c>
      <c r="K43" s="25">
        <f t="shared" si="8"/>
        <v>5099.8054186153213</v>
      </c>
      <c r="L43" s="25">
        <f t="shared" si="8"/>
        <v>5393.9955127965268</v>
      </c>
      <c r="M43" s="25">
        <f t="shared" si="8"/>
        <v>5695.7299889511469</v>
      </c>
      <c r="N43" s="25">
        <f t="shared" si="8"/>
        <v>6004.6462231831547</v>
      </c>
      <c r="O43" s="25">
        <f t="shared" si="8"/>
        <v>6320.3737042022394</v>
      </c>
      <c r="P43" s="25">
        <f t="shared" si="8"/>
        <v>6642.5378312514031</v>
      </c>
      <c r="Q43" s="25">
        <f t="shared" si="8"/>
        <v>6970.7634518540744</v>
      </c>
      <c r="R43" s="25">
        <f t="shared" si="8"/>
        <v>7304.6780940511699</v>
      </c>
      <c r="S43" s="25">
        <f t="shared" si="8"/>
        <v>7643.9148609754366</v>
      </c>
      <c r="T43" s="25">
        <f t="shared" si="8"/>
        <v>7988.1149681981069</v>
      </c>
      <c r="U43" s="25">
        <f t="shared" si="8"/>
        <v>8336.9299158435897</v>
      </c>
    </row>
    <row r="44" spans="2:21">
      <c r="B44" s="24">
        <f t="shared" si="3"/>
        <v>975000</v>
      </c>
      <c r="C44" s="24">
        <f t="shared" si="8"/>
        <v>3135.9853243530829</v>
      </c>
      <c r="D44" s="24">
        <f t="shared" si="8"/>
        <v>3364.9220519618625</v>
      </c>
      <c r="E44" s="24">
        <f t="shared" si="8"/>
        <v>3603.7898587160003</v>
      </c>
      <c r="F44" s="24">
        <f t="shared" si="8"/>
        <v>3852.4287634728876</v>
      </c>
      <c r="G44" s="24">
        <f t="shared" si="8"/>
        <v>4110.6393288621421</v>
      </c>
      <c r="H44" s="24">
        <f t="shared" si="8"/>
        <v>4378.1857061360388</v>
      </c>
      <c r="I44" s="24">
        <f t="shared" si="8"/>
        <v>4654.7991307882303</v>
      </c>
      <c r="J44" s="24">
        <f t="shared" si="8"/>
        <v>4940.1817708023364</v>
      </c>
      <c r="K44" s="24">
        <f t="shared" si="8"/>
        <v>5234.0108243683553</v>
      </c>
      <c r="L44" s="24">
        <f t="shared" si="8"/>
        <v>5535.9427631332783</v>
      </c>
      <c r="M44" s="24">
        <f t="shared" si="8"/>
        <v>5845.6176202393353</v>
      </c>
      <c r="N44" s="24">
        <f t="shared" si="8"/>
        <v>6162.6632290563957</v>
      </c>
      <c r="O44" s="24">
        <f t="shared" si="8"/>
        <v>6486.6993279970357</v>
      </c>
      <c r="P44" s="24">
        <f t="shared" si="8"/>
        <v>6817.3414583895974</v>
      </c>
      <c r="Q44" s="24">
        <f t="shared" si="8"/>
        <v>7154.2045953239176</v>
      </c>
      <c r="R44" s="24">
        <f t="shared" si="8"/>
        <v>7496.906464947253</v>
      </c>
      <c r="S44" s="24">
        <f t="shared" si="8"/>
        <v>7845.0705152116316</v>
      </c>
      <c r="T44" s="24">
        <f t="shared" si="8"/>
        <v>8198.3285199927941</v>
      </c>
      <c r="U44" s="24">
        <f t="shared" si="8"/>
        <v>8556.3228083657887</v>
      </c>
    </row>
    <row r="45" spans="2:21">
      <c r="B45" s="25">
        <f t="shared" si="3"/>
        <v>1000000</v>
      </c>
      <c r="C45" s="25">
        <f t="shared" si="8"/>
        <v>3216.3952044647008</v>
      </c>
      <c r="D45" s="25">
        <f t="shared" si="8"/>
        <v>3451.202104576269</v>
      </c>
      <c r="E45" s="25">
        <f t="shared" si="8"/>
        <v>3696.1947268882054</v>
      </c>
      <c r="F45" s="25">
        <f t="shared" si="8"/>
        <v>3951.2089881773204</v>
      </c>
      <c r="G45" s="25">
        <f t="shared" si="8"/>
        <v>4216.0403372945048</v>
      </c>
      <c r="H45" s="25">
        <f t="shared" si="8"/>
        <v>4490.4468780882444</v>
      </c>
      <c r="I45" s="25">
        <f t="shared" si="8"/>
        <v>4774.1529546545953</v>
      </c>
      <c r="J45" s="25">
        <f t="shared" si="8"/>
        <v>5066.8530982588072</v>
      </c>
      <c r="K45" s="25">
        <f t="shared" si="8"/>
        <v>5368.2162301213903</v>
      </c>
      <c r="L45" s="25">
        <f t="shared" si="8"/>
        <v>5677.8900134700289</v>
      </c>
      <c r="M45" s="25">
        <f t="shared" si="8"/>
        <v>5995.5052515275229</v>
      </c>
      <c r="N45" s="25">
        <f t="shared" si="8"/>
        <v>6320.6802349296358</v>
      </c>
      <c r="O45" s="25">
        <f t="shared" si="8"/>
        <v>6653.024951791831</v>
      </c>
      <c r="P45" s="25">
        <f t="shared" si="8"/>
        <v>6992.1450855277926</v>
      </c>
      <c r="Q45" s="25">
        <f t="shared" si="8"/>
        <v>7337.6457387937626</v>
      </c>
      <c r="R45" s="25">
        <f t="shared" si="8"/>
        <v>7689.134835843337</v>
      </c>
      <c r="S45" s="25">
        <f t="shared" si="8"/>
        <v>8046.2261694478266</v>
      </c>
      <c r="T45" s="25">
        <f t="shared" si="8"/>
        <v>8408.5420717874804</v>
      </c>
      <c r="U45" s="25">
        <f t="shared" si="8"/>
        <v>8775.7157008879894</v>
      </c>
    </row>
  </sheetData>
  <phoneticPr fontId="4" type="noConversion"/>
  <printOptions horizontalCentered="1"/>
  <pageMargins left="0" right="0" top="1" bottom="1" header="0.5" footer="0.5"/>
  <pageSetup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70"/>
  <sheetViews>
    <sheetView showGridLines="0" tabSelected="1" workbookViewId="0">
      <pane ySplit="9" topLeftCell="A10" activePane="bottomLeft" state="frozen"/>
      <selection pane="bottomLeft" activeCell="F7" sqref="F7"/>
    </sheetView>
  </sheetViews>
  <sheetFormatPr defaultRowHeight="12.75"/>
  <cols>
    <col min="1" max="1" width="1.7109375" customWidth="1"/>
    <col min="2" max="2" width="7.5703125" customWidth="1"/>
    <col min="3" max="6" width="16.7109375" customWidth="1"/>
    <col min="7" max="7" width="12.28515625" bestFit="1" customWidth="1"/>
    <col min="8" max="8" width="11.42578125" bestFit="1" customWidth="1"/>
  </cols>
  <sheetData>
    <row r="1" spans="2:12" ht="5.0999999999999996" customHeight="1">
      <c r="H1" s="30"/>
    </row>
    <row r="2" spans="2:12" ht="22.5" customHeight="1">
      <c r="B2" s="113" t="str">
        <f>"Amortization for a "&amp;C3&amp;" Month Fully Amortized Loan"</f>
        <v>Amortization for a 360 Month Fully Amortized Loan</v>
      </c>
      <c r="C2" s="4"/>
      <c r="D2" s="4"/>
      <c r="E2" s="4"/>
      <c r="F2" s="4"/>
      <c r="H2" s="30"/>
    </row>
    <row r="3" spans="2:12" ht="18">
      <c r="B3" s="105" t="s">
        <v>146</v>
      </c>
      <c r="C3" s="103">
        <v>360</v>
      </c>
      <c r="D3" s="105" t="s">
        <v>148</v>
      </c>
      <c r="E3" s="104">
        <v>260000</v>
      </c>
      <c r="F3" s="31" t="s">
        <v>153</v>
      </c>
      <c r="H3" s="127" t="s">
        <v>140</v>
      </c>
    </row>
    <row r="4" spans="2:12" ht="15.75">
      <c r="B4" s="105" t="s">
        <v>147</v>
      </c>
      <c r="C4" s="102">
        <v>3.2500000000000001E-2</v>
      </c>
      <c r="D4" s="105" t="s">
        <v>149</v>
      </c>
      <c r="E4" s="107">
        <f>ROUND(PMT(Rate/PYR,Term,Loan,-FV),2)</f>
        <v>-1131.54</v>
      </c>
      <c r="F4" s="31" t="s">
        <v>170</v>
      </c>
      <c r="H4" s="125" t="s">
        <v>174</v>
      </c>
      <c r="I4" s="125"/>
      <c r="J4" s="125"/>
      <c r="K4" s="125"/>
      <c r="L4" s="125"/>
    </row>
    <row r="5" spans="2:12" ht="15.75">
      <c r="B5" s="105" t="s">
        <v>151</v>
      </c>
      <c r="C5" s="103">
        <v>12</v>
      </c>
      <c r="D5" s="105" t="s">
        <v>150</v>
      </c>
      <c r="E5" s="104">
        <v>0</v>
      </c>
      <c r="F5" s="31" t="s">
        <v>169</v>
      </c>
      <c r="H5" s="30"/>
    </row>
    <row r="6" spans="2:12" ht="12.75" customHeight="1">
      <c r="B6" s="27"/>
      <c r="C6" s="27"/>
      <c r="D6" s="4"/>
      <c r="E6" s="4"/>
      <c r="H6" s="30"/>
    </row>
    <row r="7" spans="2:12" ht="15.75">
      <c r="B7" s="7" t="s">
        <v>134</v>
      </c>
      <c r="C7" s="112">
        <f>SUM(C11:C370)</f>
        <v>260002.18000000002</v>
      </c>
      <c r="D7" s="112">
        <f>SUM(D11:D370)</f>
        <v>147352.22000000015</v>
      </c>
      <c r="E7" s="112">
        <f>SUM(E11:E370)</f>
        <v>407354.39999999793</v>
      </c>
      <c r="F7" s="82"/>
      <c r="H7" s="30"/>
    </row>
    <row r="8" spans="2:12" ht="12.75" customHeight="1">
      <c r="C8" s="3"/>
      <c r="D8" s="4"/>
      <c r="E8" s="4"/>
      <c r="H8" s="30"/>
    </row>
    <row r="9" spans="2:12" ht="12.75" customHeight="1">
      <c r="B9" s="83" t="s">
        <v>61</v>
      </c>
      <c r="C9" s="83" t="s">
        <v>48</v>
      </c>
      <c r="D9" s="83" t="s">
        <v>41</v>
      </c>
      <c r="E9" s="83" t="s">
        <v>49</v>
      </c>
      <c r="F9" s="83" t="s">
        <v>50</v>
      </c>
    </row>
    <row r="10" spans="2:12">
      <c r="B10" s="28">
        <v>0</v>
      </c>
      <c r="C10" s="108"/>
      <c r="D10" s="108"/>
      <c r="E10" s="108"/>
      <c r="F10" s="109">
        <f>Loan</f>
        <v>260000</v>
      </c>
    </row>
    <row r="11" spans="2:12">
      <c r="B11" s="111">
        <v>1</v>
      </c>
      <c r="C11" s="106">
        <f>IF(Term&gt;=B11,E11-D11,"")</f>
        <v>427.37</v>
      </c>
      <c r="D11" s="106">
        <f>IF(Term&gt;=B11,ROUND(F10*Rate/PYR,2),"")</f>
        <v>704.17</v>
      </c>
      <c r="E11" s="106">
        <f>IF(Term&gt;=B11,-PMT,"")</f>
        <v>1131.54</v>
      </c>
      <c r="F11" s="106">
        <f>IF(Term&gt;=B11,Loan-SUM(C$10:C11),"")</f>
        <v>259572.63</v>
      </c>
      <c r="G11" s="110"/>
    </row>
    <row r="12" spans="2:12">
      <c r="B12" s="28">
        <f>B11+1</f>
        <v>2</v>
      </c>
      <c r="C12" s="109">
        <f>IF(Term&gt;=B12,E12-D12,"")</f>
        <v>428.53</v>
      </c>
      <c r="D12" s="109">
        <f>IF(Term&gt;=B12,ROUND(F11*Rate/PYR,2),"")</f>
        <v>703.01</v>
      </c>
      <c r="E12" s="109">
        <f>IF(Term&gt;=B12,-PMT,"")</f>
        <v>1131.54</v>
      </c>
      <c r="F12" s="109">
        <f>IF(Term&gt;=B12,Loan-SUM(C$10:C12),"")</f>
        <v>259144.1</v>
      </c>
      <c r="G12" s="110"/>
    </row>
    <row r="13" spans="2:12">
      <c r="B13" s="111">
        <f t="shared" ref="B13:B76" si="0">B12+1</f>
        <v>3</v>
      </c>
      <c r="C13" s="106">
        <f>IF(Term&gt;=B13,E13-D13,"")</f>
        <v>429.68999999999994</v>
      </c>
      <c r="D13" s="106">
        <f>IF(Term&gt;=B13,ROUND(F12*Rate/PYR,2),"")</f>
        <v>701.85</v>
      </c>
      <c r="E13" s="106">
        <f>IF(Term&gt;=B13,-PMT,"")</f>
        <v>1131.54</v>
      </c>
      <c r="F13" s="106">
        <f>IF(Term&gt;=B13,Loan-SUM(C$10:C13),"")</f>
        <v>258714.41</v>
      </c>
      <c r="G13" s="110"/>
    </row>
    <row r="14" spans="2:12">
      <c r="B14" s="28">
        <f t="shared" si="0"/>
        <v>4</v>
      </c>
      <c r="C14" s="109">
        <f>IF(Term&gt;=B14,E14-D14,"")</f>
        <v>430.86</v>
      </c>
      <c r="D14" s="109">
        <f>IF(Term&gt;=B14,ROUND(F13*Rate/PYR,2),"")</f>
        <v>700.68</v>
      </c>
      <c r="E14" s="109">
        <f>IF(Term&gt;=B14,-PMT,"")</f>
        <v>1131.54</v>
      </c>
      <c r="F14" s="109">
        <f>IF(Term&gt;=B14,Loan-SUM(C$10:C14),"")</f>
        <v>258283.55</v>
      </c>
      <c r="G14" s="110"/>
    </row>
    <row r="15" spans="2:12">
      <c r="B15" s="111">
        <f t="shared" si="0"/>
        <v>5</v>
      </c>
      <c r="C15" s="106">
        <f>IF(Term&gt;=B15,E15-D15,"")</f>
        <v>432.02</v>
      </c>
      <c r="D15" s="106">
        <f>IF(Term&gt;=B15,ROUND(F14*Rate/PYR,2),"")</f>
        <v>699.52</v>
      </c>
      <c r="E15" s="106">
        <f>IF(Term&gt;=B15,-PMT,"")</f>
        <v>1131.54</v>
      </c>
      <c r="F15" s="106">
        <f>IF(Term&gt;=B15,Loan-SUM(C$10:C15),"")</f>
        <v>257851.53</v>
      </c>
      <c r="G15" s="110"/>
    </row>
    <row r="16" spans="2:12">
      <c r="B16" s="28">
        <f t="shared" si="0"/>
        <v>6</v>
      </c>
      <c r="C16" s="109">
        <f>IF(Term&gt;=B16,E16-D16,"")</f>
        <v>433.18999999999994</v>
      </c>
      <c r="D16" s="109">
        <f>IF(Term&gt;=B16,ROUND(F15*Rate/PYR,2),"")</f>
        <v>698.35</v>
      </c>
      <c r="E16" s="109">
        <f>IF(Term&gt;=B16,-PMT,"")</f>
        <v>1131.54</v>
      </c>
      <c r="F16" s="109">
        <f>IF(Term&gt;=B16,Loan-SUM(C$10:C16),"")</f>
        <v>257418.34</v>
      </c>
      <c r="G16" s="110"/>
    </row>
    <row r="17" spans="2:7">
      <c r="B17" s="111">
        <f t="shared" si="0"/>
        <v>7</v>
      </c>
      <c r="C17" s="106">
        <f>IF(Term&gt;=B17,E17-D17,"")</f>
        <v>434.37</v>
      </c>
      <c r="D17" s="106">
        <f>IF(Term&gt;=B17,ROUND(F16*Rate/PYR,2),"")</f>
        <v>697.17</v>
      </c>
      <c r="E17" s="106">
        <f>IF(Term&gt;=B17,-PMT,"")</f>
        <v>1131.54</v>
      </c>
      <c r="F17" s="106">
        <f>IF(Term&gt;=B17,Loan-SUM(C$10:C17),"")</f>
        <v>256983.97</v>
      </c>
      <c r="G17" s="110"/>
    </row>
    <row r="18" spans="2:7">
      <c r="B18" s="28">
        <f t="shared" si="0"/>
        <v>8</v>
      </c>
      <c r="C18" s="109">
        <f>IF(Term&gt;=B18,E18-D18,"")</f>
        <v>435.53999999999996</v>
      </c>
      <c r="D18" s="109">
        <f>IF(Term&gt;=B18,ROUND(F17*Rate/PYR,2),"")</f>
        <v>696</v>
      </c>
      <c r="E18" s="109">
        <f>IF(Term&gt;=B18,-PMT,"")</f>
        <v>1131.54</v>
      </c>
      <c r="F18" s="109">
        <f>IF(Term&gt;=B18,Loan-SUM(C$10:C18),"")</f>
        <v>256548.43</v>
      </c>
      <c r="G18" s="110"/>
    </row>
    <row r="19" spans="2:7">
      <c r="B19" s="111">
        <f t="shared" si="0"/>
        <v>9</v>
      </c>
      <c r="C19" s="106">
        <f>IF(Term&gt;=B19,E19-D19,"")</f>
        <v>436.71999999999991</v>
      </c>
      <c r="D19" s="106">
        <f>IF(Term&gt;=B19,ROUND(F18*Rate/PYR,2),"")</f>
        <v>694.82</v>
      </c>
      <c r="E19" s="106">
        <f>IF(Term&gt;=B19,-PMT,"")</f>
        <v>1131.54</v>
      </c>
      <c r="F19" s="106">
        <f>IF(Term&gt;=B19,Loan-SUM(C$10:C19),"")</f>
        <v>256111.71</v>
      </c>
      <c r="G19" s="110"/>
    </row>
    <row r="20" spans="2:7">
      <c r="B20" s="28">
        <f t="shared" si="0"/>
        <v>10</v>
      </c>
      <c r="C20" s="109">
        <f>IF(Term&gt;=B20,E20-D20,"")</f>
        <v>437.9</v>
      </c>
      <c r="D20" s="109">
        <f>IF(Term&gt;=B20,ROUND(F19*Rate/PYR,2),"")</f>
        <v>693.64</v>
      </c>
      <c r="E20" s="109">
        <f>IF(Term&gt;=B20,-PMT,"")</f>
        <v>1131.54</v>
      </c>
      <c r="F20" s="109">
        <f>IF(Term&gt;=B20,Loan-SUM(C$10:C20),"")</f>
        <v>255673.81</v>
      </c>
      <c r="G20" s="110"/>
    </row>
    <row r="21" spans="2:7">
      <c r="B21" s="111">
        <f t="shared" si="0"/>
        <v>11</v>
      </c>
      <c r="C21" s="106">
        <f>IF(Term&gt;=B21,E21-D21,"")</f>
        <v>439.08999999999992</v>
      </c>
      <c r="D21" s="106">
        <f>IF(Term&gt;=B21,ROUND(F20*Rate/PYR,2),"")</f>
        <v>692.45</v>
      </c>
      <c r="E21" s="106">
        <f>IF(Term&gt;=B21,-PMT,"")</f>
        <v>1131.54</v>
      </c>
      <c r="F21" s="106">
        <f>IF(Term&gt;=B21,Loan-SUM(C$10:C21),"")</f>
        <v>255234.72</v>
      </c>
      <c r="G21" s="110"/>
    </row>
    <row r="22" spans="2:7">
      <c r="B22" s="28">
        <f t="shared" si="0"/>
        <v>12</v>
      </c>
      <c r="C22" s="109">
        <f>IF(Term&gt;=B22,E22-D22,"")</f>
        <v>440.28</v>
      </c>
      <c r="D22" s="109">
        <f>IF(Term&gt;=B22,ROUND(F21*Rate/PYR,2),"")</f>
        <v>691.26</v>
      </c>
      <c r="E22" s="109">
        <f>IF(Term&gt;=B22,-PMT,"")</f>
        <v>1131.54</v>
      </c>
      <c r="F22" s="109">
        <f>IF(Term&gt;=B22,Loan-SUM(C$10:C22),"")</f>
        <v>254794.44</v>
      </c>
      <c r="G22" s="110"/>
    </row>
    <row r="23" spans="2:7">
      <c r="B23" s="111">
        <f t="shared" si="0"/>
        <v>13</v>
      </c>
      <c r="C23" s="106">
        <f>IF(Term&gt;=B23,E23-D23,"")</f>
        <v>441.46999999999991</v>
      </c>
      <c r="D23" s="106">
        <f>IF(Term&gt;=B23,ROUND(F22*Rate/PYR,2),"")</f>
        <v>690.07</v>
      </c>
      <c r="E23" s="106">
        <f>IF(Term&gt;=B23,-PMT,"")</f>
        <v>1131.54</v>
      </c>
      <c r="F23" s="106">
        <f>IF(Term&gt;=B23,Loan-SUM(C$10:C23),"")</f>
        <v>254352.97</v>
      </c>
      <c r="G23" s="110"/>
    </row>
    <row r="24" spans="2:7">
      <c r="B24" s="28">
        <f t="shared" si="0"/>
        <v>14</v>
      </c>
      <c r="C24" s="109">
        <f>IF(Term&gt;=B24,E24-D24,"")</f>
        <v>442.66999999999996</v>
      </c>
      <c r="D24" s="109">
        <f>IF(Term&gt;=B24,ROUND(F23*Rate/PYR,2),"")</f>
        <v>688.87</v>
      </c>
      <c r="E24" s="109">
        <f>IF(Term&gt;=B24,-PMT,"")</f>
        <v>1131.54</v>
      </c>
      <c r="F24" s="109">
        <f>IF(Term&gt;=B24,Loan-SUM(C$10:C24),"")</f>
        <v>253910.3</v>
      </c>
      <c r="G24" s="110"/>
    </row>
    <row r="25" spans="2:7">
      <c r="B25" s="111">
        <f t="shared" si="0"/>
        <v>15</v>
      </c>
      <c r="C25" s="106">
        <f>IF(Term&gt;=B25,E25-D25,"")</f>
        <v>443.87</v>
      </c>
      <c r="D25" s="106">
        <f>IF(Term&gt;=B25,ROUND(F24*Rate/PYR,2),"")</f>
        <v>687.67</v>
      </c>
      <c r="E25" s="106">
        <f>IF(Term&gt;=B25,-PMT,"")</f>
        <v>1131.54</v>
      </c>
      <c r="F25" s="106">
        <f>IF(Term&gt;=B25,Loan-SUM(C$10:C25),"")</f>
        <v>253466.43</v>
      </c>
      <c r="G25" s="110"/>
    </row>
    <row r="26" spans="2:7">
      <c r="B26" s="28">
        <f t="shared" si="0"/>
        <v>16</v>
      </c>
      <c r="C26" s="109">
        <f>IF(Term&gt;=B26,E26-D26,"")</f>
        <v>445.06999999999994</v>
      </c>
      <c r="D26" s="109">
        <f>IF(Term&gt;=B26,ROUND(F25*Rate/PYR,2),"")</f>
        <v>686.47</v>
      </c>
      <c r="E26" s="109">
        <f>IF(Term&gt;=B26,-PMT,"")</f>
        <v>1131.54</v>
      </c>
      <c r="F26" s="109">
        <f>IF(Term&gt;=B26,Loan-SUM(C$10:C26),"")</f>
        <v>253021.36</v>
      </c>
      <c r="G26" s="110"/>
    </row>
    <row r="27" spans="2:7">
      <c r="B27" s="111">
        <f t="shared" si="0"/>
        <v>17</v>
      </c>
      <c r="C27" s="106">
        <f>IF(Term&gt;=B27,E27-D27,"")</f>
        <v>446.27</v>
      </c>
      <c r="D27" s="106">
        <f>IF(Term&gt;=B27,ROUND(F26*Rate/PYR,2),"")</f>
        <v>685.27</v>
      </c>
      <c r="E27" s="106">
        <f>IF(Term&gt;=B27,-PMT,"")</f>
        <v>1131.54</v>
      </c>
      <c r="F27" s="106">
        <f>IF(Term&gt;=B27,Loan-SUM(C$10:C27),"")</f>
        <v>252575.09</v>
      </c>
    </row>
    <row r="28" spans="2:7">
      <c r="B28" s="28">
        <f t="shared" si="0"/>
        <v>18</v>
      </c>
      <c r="C28" s="109">
        <f>IF(Term&gt;=B28,E28-D28,"")</f>
        <v>447.48</v>
      </c>
      <c r="D28" s="109">
        <f>IF(Term&gt;=B28,ROUND(F27*Rate/PYR,2),"")</f>
        <v>684.06</v>
      </c>
      <c r="E28" s="109">
        <f>IF(Term&gt;=B28,-PMT,"")</f>
        <v>1131.54</v>
      </c>
      <c r="F28" s="109">
        <f>IF(Term&gt;=B28,Loan-SUM(C$10:C28),"")</f>
        <v>252127.61</v>
      </c>
    </row>
    <row r="29" spans="2:7">
      <c r="B29" s="111">
        <f t="shared" si="0"/>
        <v>19</v>
      </c>
      <c r="C29" s="106">
        <f>IF(Term&gt;=B29,E29-D29,"")</f>
        <v>448.68999999999994</v>
      </c>
      <c r="D29" s="106">
        <f>IF(Term&gt;=B29,ROUND(F28*Rate/PYR,2),"")</f>
        <v>682.85</v>
      </c>
      <c r="E29" s="106">
        <f>IF(Term&gt;=B29,-PMT,"")</f>
        <v>1131.54</v>
      </c>
      <c r="F29" s="106">
        <f>IF(Term&gt;=B29,Loan-SUM(C$10:C29),"")</f>
        <v>251678.92</v>
      </c>
    </row>
    <row r="30" spans="2:7">
      <c r="B30" s="28">
        <f t="shared" si="0"/>
        <v>20</v>
      </c>
      <c r="C30" s="109">
        <f>IF(Term&gt;=B30,E30-D30,"")</f>
        <v>449.90999999999997</v>
      </c>
      <c r="D30" s="109">
        <f>IF(Term&gt;=B30,ROUND(F29*Rate/PYR,2),"")</f>
        <v>681.63</v>
      </c>
      <c r="E30" s="109">
        <f>IF(Term&gt;=B30,-PMT,"")</f>
        <v>1131.54</v>
      </c>
      <c r="F30" s="109">
        <f>IF(Term&gt;=B30,Loan-SUM(C$10:C30),"")</f>
        <v>251229.01</v>
      </c>
    </row>
    <row r="31" spans="2:7">
      <c r="B31" s="111">
        <f t="shared" si="0"/>
        <v>21</v>
      </c>
      <c r="C31" s="106">
        <f>IF(Term&gt;=B31,E31-D31,"")</f>
        <v>451.13</v>
      </c>
      <c r="D31" s="106">
        <f>IF(Term&gt;=B31,ROUND(F30*Rate/PYR,2),"")</f>
        <v>680.41</v>
      </c>
      <c r="E31" s="106">
        <f>IF(Term&gt;=B31,-PMT,"")</f>
        <v>1131.54</v>
      </c>
      <c r="F31" s="106">
        <f>IF(Term&gt;=B31,Loan-SUM(C$10:C31),"")</f>
        <v>250777.88</v>
      </c>
    </row>
    <row r="32" spans="2:7">
      <c r="B32" s="28">
        <f t="shared" si="0"/>
        <v>22</v>
      </c>
      <c r="C32" s="109">
        <f>IF(Term&gt;=B32,E32-D32,"")</f>
        <v>452.34999999999991</v>
      </c>
      <c r="D32" s="109">
        <f>IF(Term&gt;=B32,ROUND(F31*Rate/PYR,2),"")</f>
        <v>679.19</v>
      </c>
      <c r="E32" s="109">
        <f>IF(Term&gt;=B32,-PMT,"")</f>
        <v>1131.54</v>
      </c>
      <c r="F32" s="109">
        <f>IF(Term&gt;=B32,Loan-SUM(C$10:C32),"")</f>
        <v>250325.53</v>
      </c>
    </row>
    <row r="33" spans="2:6">
      <c r="B33" s="111">
        <f t="shared" si="0"/>
        <v>23</v>
      </c>
      <c r="C33" s="106">
        <f>IF(Term&gt;=B33,E33-D33,"")</f>
        <v>453.57999999999993</v>
      </c>
      <c r="D33" s="106">
        <f>IF(Term&gt;=B33,ROUND(F32*Rate/PYR,2),"")</f>
        <v>677.96</v>
      </c>
      <c r="E33" s="106">
        <f>IF(Term&gt;=B33,-PMT,"")</f>
        <v>1131.54</v>
      </c>
      <c r="F33" s="106">
        <f>IF(Term&gt;=B33,Loan-SUM(C$10:C33),"")</f>
        <v>249871.95</v>
      </c>
    </row>
    <row r="34" spans="2:6">
      <c r="B34" s="28">
        <f t="shared" si="0"/>
        <v>24</v>
      </c>
      <c r="C34" s="109">
        <f>IF(Term&gt;=B34,E34-D34,"")</f>
        <v>454.79999999999995</v>
      </c>
      <c r="D34" s="109">
        <f>IF(Term&gt;=B34,ROUND(F33*Rate/PYR,2),"")</f>
        <v>676.74</v>
      </c>
      <c r="E34" s="109">
        <f>IF(Term&gt;=B34,-PMT,"")</f>
        <v>1131.54</v>
      </c>
      <c r="F34" s="109">
        <f>IF(Term&gt;=B34,Loan-SUM(C$10:C34),"")</f>
        <v>249417.15</v>
      </c>
    </row>
    <row r="35" spans="2:6">
      <c r="B35" s="111">
        <f t="shared" si="0"/>
        <v>25</v>
      </c>
      <c r="C35" s="106">
        <f>IF(Term&gt;=B35,E35-D35,"")</f>
        <v>456.03999999999996</v>
      </c>
      <c r="D35" s="106">
        <f>IF(Term&gt;=B35,ROUND(F34*Rate/PYR,2),"")</f>
        <v>675.5</v>
      </c>
      <c r="E35" s="106">
        <f>IF(Term&gt;=B35,-PMT,"")</f>
        <v>1131.54</v>
      </c>
      <c r="F35" s="106">
        <f>IF(Term&gt;=B35,Loan-SUM(C$10:C35),"")</f>
        <v>248961.11</v>
      </c>
    </row>
    <row r="36" spans="2:6">
      <c r="B36" s="28">
        <f t="shared" si="0"/>
        <v>26</v>
      </c>
      <c r="C36" s="109">
        <f>IF(Term&gt;=B36,E36-D36,"")</f>
        <v>457.27</v>
      </c>
      <c r="D36" s="109">
        <f>IF(Term&gt;=B36,ROUND(F35*Rate/PYR,2),"")</f>
        <v>674.27</v>
      </c>
      <c r="E36" s="109">
        <f>IF(Term&gt;=B36,-PMT,"")</f>
        <v>1131.54</v>
      </c>
      <c r="F36" s="109">
        <f>IF(Term&gt;=B36,Loan-SUM(C$10:C36),"")</f>
        <v>248503.84</v>
      </c>
    </row>
    <row r="37" spans="2:6">
      <c r="B37" s="111">
        <f t="shared" si="0"/>
        <v>27</v>
      </c>
      <c r="C37" s="106">
        <f>IF(Term&gt;=B37,E37-D37,"")</f>
        <v>458.51</v>
      </c>
      <c r="D37" s="106">
        <f>IF(Term&gt;=B37,ROUND(F36*Rate/PYR,2),"")</f>
        <v>673.03</v>
      </c>
      <c r="E37" s="106">
        <f>IF(Term&gt;=B37,-PMT,"")</f>
        <v>1131.54</v>
      </c>
      <c r="F37" s="106">
        <f>IF(Term&gt;=B37,Loan-SUM(C$10:C37),"")</f>
        <v>248045.33</v>
      </c>
    </row>
    <row r="38" spans="2:6">
      <c r="B38" s="28">
        <f t="shared" si="0"/>
        <v>28</v>
      </c>
      <c r="C38" s="109">
        <f>IF(Term&gt;=B38,E38-D38,"")</f>
        <v>459.75</v>
      </c>
      <c r="D38" s="109">
        <f>IF(Term&gt;=B38,ROUND(F37*Rate/PYR,2),"")</f>
        <v>671.79</v>
      </c>
      <c r="E38" s="109">
        <f>IF(Term&gt;=B38,-PMT,"")</f>
        <v>1131.54</v>
      </c>
      <c r="F38" s="109">
        <f>IF(Term&gt;=B38,Loan-SUM(C$10:C38),"")</f>
        <v>247585.58</v>
      </c>
    </row>
    <row r="39" spans="2:6">
      <c r="B39" s="111">
        <f t="shared" si="0"/>
        <v>29</v>
      </c>
      <c r="C39" s="106">
        <f>IF(Term&gt;=B39,E39-D39,"")</f>
        <v>461</v>
      </c>
      <c r="D39" s="106">
        <f>IF(Term&gt;=B39,ROUND(F38*Rate/PYR,2),"")</f>
        <v>670.54</v>
      </c>
      <c r="E39" s="106">
        <f>IF(Term&gt;=B39,-PMT,"")</f>
        <v>1131.54</v>
      </c>
      <c r="F39" s="106">
        <f>IF(Term&gt;=B39,Loan-SUM(C$10:C39),"")</f>
        <v>247124.58</v>
      </c>
    </row>
    <row r="40" spans="2:6">
      <c r="B40" s="28">
        <f t="shared" si="0"/>
        <v>30</v>
      </c>
      <c r="C40" s="109">
        <f>IF(Term&gt;=B40,E40-D40,"")</f>
        <v>462.24</v>
      </c>
      <c r="D40" s="109">
        <f>IF(Term&gt;=B40,ROUND(F39*Rate/PYR,2),"")</f>
        <v>669.3</v>
      </c>
      <c r="E40" s="109">
        <f>IF(Term&gt;=B40,-PMT,"")</f>
        <v>1131.54</v>
      </c>
      <c r="F40" s="109">
        <f>IF(Term&gt;=B40,Loan-SUM(C$10:C40),"")</f>
        <v>246662.34</v>
      </c>
    </row>
    <row r="41" spans="2:6">
      <c r="B41" s="111">
        <f t="shared" si="0"/>
        <v>31</v>
      </c>
      <c r="C41" s="106">
        <f>IF(Term&gt;=B41,E41-D41,"")</f>
        <v>463.5</v>
      </c>
      <c r="D41" s="106">
        <f>IF(Term&gt;=B41,ROUND(F40*Rate/PYR,2),"")</f>
        <v>668.04</v>
      </c>
      <c r="E41" s="106">
        <f>IF(Term&gt;=B41,-PMT,"")</f>
        <v>1131.54</v>
      </c>
      <c r="F41" s="106">
        <f>IF(Term&gt;=B41,Loan-SUM(C$10:C41),"")</f>
        <v>246198.84</v>
      </c>
    </row>
    <row r="42" spans="2:6">
      <c r="B42" s="28">
        <f t="shared" si="0"/>
        <v>32</v>
      </c>
      <c r="C42" s="109">
        <f>IF(Term&gt;=B42,E42-D42,"")</f>
        <v>464.75</v>
      </c>
      <c r="D42" s="109">
        <f>IF(Term&gt;=B42,ROUND(F41*Rate/PYR,2),"")</f>
        <v>666.79</v>
      </c>
      <c r="E42" s="109">
        <f>IF(Term&gt;=B42,-PMT,"")</f>
        <v>1131.54</v>
      </c>
      <c r="F42" s="109">
        <f>IF(Term&gt;=B42,Loan-SUM(C$10:C42),"")</f>
        <v>245734.09</v>
      </c>
    </row>
    <row r="43" spans="2:6">
      <c r="B43" s="111">
        <f t="shared" si="0"/>
        <v>33</v>
      </c>
      <c r="C43" s="106">
        <f>IF(Term&gt;=B43,E43-D43,"")</f>
        <v>466.01</v>
      </c>
      <c r="D43" s="106">
        <f>IF(Term&gt;=B43,ROUND(F42*Rate/PYR,2),"")</f>
        <v>665.53</v>
      </c>
      <c r="E43" s="106">
        <f>IF(Term&gt;=B43,-PMT,"")</f>
        <v>1131.54</v>
      </c>
      <c r="F43" s="106">
        <f>IF(Term&gt;=B43,Loan-SUM(C$10:C43),"")</f>
        <v>245268.08</v>
      </c>
    </row>
    <row r="44" spans="2:6">
      <c r="B44" s="28">
        <f t="shared" si="0"/>
        <v>34</v>
      </c>
      <c r="C44" s="109">
        <f>IF(Term&gt;=B44,E44-D44,"")</f>
        <v>467.27</v>
      </c>
      <c r="D44" s="109">
        <f>IF(Term&gt;=B44,ROUND(F43*Rate/PYR,2),"")</f>
        <v>664.27</v>
      </c>
      <c r="E44" s="109">
        <f>IF(Term&gt;=B44,-PMT,"")</f>
        <v>1131.54</v>
      </c>
      <c r="F44" s="109">
        <f>IF(Term&gt;=B44,Loan-SUM(C$10:C44),"")</f>
        <v>244800.81</v>
      </c>
    </row>
    <row r="45" spans="2:6">
      <c r="B45" s="111">
        <f t="shared" si="0"/>
        <v>35</v>
      </c>
      <c r="C45" s="106">
        <f>IF(Term&gt;=B45,E45-D45,"")</f>
        <v>468.53999999999996</v>
      </c>
      <c r="D45" s="106">
        <f>IF(Term&gt;=B45,ROUND(F44*Rate/PYR,2),"")</f>
        <v>663</v>
      </c>
      <c r="E45" s="106">
        <f>IF(Term&gt;=B45,-PMT,"")</f>
        <v>1131.54</v>
      </c>
      <c r="F45" s="106">
        <f>IF(Term&gt;=B45,Loan-SUM(C$10:C45),"")</f>
        <v>244332.27</v>
      </c>
    </row>
    <row r="46" spans="2:6">
      <c r="B46" s="28">
        <f t="shared" si="0"/>
        <v>36</v>
      </c>
      <c r="C46" s="109">
        <f>IF(Term&gt;=B46,E46-D46,"")</f>
        <v>469.80999999999995</v>
      </c>
      <c r="D46" s="109">
        <f>IF(Term&gt;=B46,ROUND(F45*Rate/PYR,2),"")</f>
        <v>661.73</v>
      </c>
      <c r="E46" s="109">
        <f>IF(Term&gt;=B46,-PMT,"")</f>
        <v>1131.54</v>
      </c>
      <c r="F46" s="109">
        <f>IF(Term&gt;=B46,Loan-SUM(C$10:C46),"")</f>
        <v>243862.46</v>
      </c>
    </row>
    <row r="47" spans="2:6">
      <c r="B47" s="111">
        <f t="shared" si="0"/>
        <v>37</v>
      </c>
      <c r="C47" s="106">
        <f>IF(Term&gt;=B47,E47-D47,"")</f>
        <v>471.07999999999993</v>
      </c>
      <c r="D47" s="106">
        <f>IF(Term&gt;=B47,ROUND(F46*Rate/PYR,2),"")</f>
        <v>660.46</v>
      </c>
      <c r="E47" s="106">
        <f>IF(Term&gt;=B47,-PMT,"")</f>
        <v>1131.54</v>
      </c>
      <c r="F47" s="106">
        <f>IF(Term&gt;=B47,Loan-SUM(C$10:C47),"")</f>
        <v>243391.38</v>
      </c>
    </row>
    <row r="48" spans="2:6">
      <c r="B48" s="28">
        <f t="shared" si="0"/>
        <v>38</v>
      </c>
      <c r="C48" s="109">
        <f>IF(Term&gt;=B48,E48-D48,"")</f>
        <v>472.36</v>
      </c>
      <c r="D48" s="109">
        <f>IF(Term&gt;=B48,ROUND(F47*Rate/PYR,2),"")</f>
        <v>659.18</v>
      </c>
      <c r="E48" s="109">
        <f>IF(Term&gt;=B48,-PMT,"")</f>
        <v>1131.54</v>
      </c>
      <c r="F48" s="109">
        <f>IF(Term&gt;=B48,Loan-SUM(C$10:C48),"")</f>
        <v>242919.02</v>
      </c>
    </row>
    <row r="49" spans="2:6">
      <c r="B49" s="111">
        <f t="shared" si="0"/>
        <v>39</v>
      </c>
      <c r="C49" s="106">
        <f>IF(Term&gt;=B49,E49-D49,"")</f>
        <v>473.63</v>
      </c>
      <c r="D49" s="106">
        <f>IF(Term&gt;=B49,ROUND(F48*Rate/PYR,2),"")</f>
        <v>657.91</v>
      </c>
      <c r="E49" s="106">
        <f>IF(Term&gt;=B49,-PMT,"")</f>
        <v>1131.54</v>
      </c>
      <c r="F49" s="106">
        <f>IF(Term&gt;=B49,Loan-SUM(C$10:C49),"")</f>
        <v>242445.39</v>
      </c>
    </row>
    <row r="50" spans="2:6">
      <c r="B50" s="28">
        <f t="shared" si="0"/>
        <v>40</v>
      </c>
      <c r="C50" s="109">
        <f>IF(Term&gt;=B50,E50-D50,"")</f>
        <v>474.91999999999996</v>
      </c>
      <c r="D50" s="109">
        <f>IF(Term&gt;=B50,ROUND(F49*Rate/PYR,2),"")</f>
        <v>656.62</v>
      </c>
      <c r="E50" s="109">
        <f>IF(Term&gt;=B50,-PMT,"")</f>
        <v>1131.54</v>
      </c>
      <c r="F50" s="109">
        <f>IF(Term&gt;=B50,Loan-SUM(C$10:C50),"")</f>
        <v>241970.47</v>
      </c>
    </row>
    <row r="51" spans="2:6">
      <c r="B51" s="111">
        <f t="shared" si="0"/>
        <v>41</v>
      </c>
      <c r="C51" s="106">
        <f>IF(Term&gt;=B51,E51-D51,"")</f>
        <v>476.19999999999993</v>
      </c>
      <c r="D51" s="106">
        <f>IF(Term&gt;=B51,ROUND(F50*Rate/PYR,2),"")</f>
        <v>655.34</v>
      </c>
      <c r="E51" s="106">
        <f>IF(Term&gt;=B51,-PMT,"")</f>
        <v>1131.54</v>
      </c>
      <c r="F51" s="106">
        <f>IF(Term&gt;=B51,Loan-SUM(C$10:C51),"")</f>
        <v>241494.27</v>
      </c>
    </row>
    <row r="52" spans="2:6">
      <c r="B52" s="28">
        <f t="shared" si="0"/>
        <v>42</v>
      </c>
      <c r="C52" s="109">
        <f>IF(Term&gt;=B52,E52-D52,"")</f>
        <v>477.49</v>
      </c>
      <c r="D52" s="109">
        <f>IF(Term&gt;=B52,ROUND(F51*Rate/PYR,2),"")</f>
        <v>654.04999999999995</v>
      </c>
      <c r="E52" s="109">
        <f>IF(Term&gt;=B52,-PMT,"")</f>
        <v>1131.54</v>
      </c>
      <c r="F52" s="109">
        <f>IF(Term&gt;=B52,Loan-SUM(C$10:C52),"")</f>
        <v>241016.78</v>
      </c>
    </row>
    <row r="53" spans="2:6">
      <c r="B53" s="111">
        <f t="shared" si="0"/>
        <v>43</v>
      </c>
      <c r="C53" s="106">
        <f>IF(Term&gt;=B53,E53-D53,"")</f>
        <v>478.78999999999996</v>
      </c>
      <c r="D53" s="106">
        <f>IF(Term&gt;=B53,ROUND(F52*Rate/PYR,2),"")</f>
        <v>652.75</v>
      </c>
      <c r="E53" s="106">
        <f>IF(Term&gt;=B53,-PMT,"")</f>
        <v>1131.54</v>
      </c>
      <c r="F53" s="106">
        <f>IF(Term&gt;=B53,Loan-SUM(C$10:C53),"")</f>
        <v>240537.99</v>
      </c>
    </row>
    <row r="54" spans="2:6">
      <c r="B54" s="28">
        <f t="shared" si="0"/>
        <v>44</v>
      </c>
      <c r="C54" s="109">
        <f>IF(Term&gt;=B54,E54-D54,"")</f>
        <v>480.07999999999993</v>
      </c>
      <c r="D54" s="109">
        <f>IF(Term&gt;=B54,ROUND(F53*Rate/PYR,2),"")</f>
        <v>651.46</v>
      </c>
      <c r="E54" s="109">
        <f>IF(Term&gt;=B54,-PMT,"")</f>
        <v>1131.54</v>
      </c>
      <c r="F54" s="109">
        <f>IF(Term&gt;=B54,Loan-SUM(C$10:C54),"")</f>
        <v>240057.91</v>
      </c>
    </row>
    <row r="55" spans="2:6">
      <c r="B55" s="111">
        <f t="shared" si="0"/>
        <v>45</v>
      </c>
      <c r="C55" s="106">
        <f>IF(Term&gt;=B55,E55-D55,"")</f>
        <v>481.38</v>
      </c>
      <c r="D55" s="106">
        <f>IF(Term&gt;=B55,ROUND(F54*Rate/PYR,2),"")</f>
        <v>650.16</v>
      </c>
      <c r="E55" s="106">
        <f>IF(Term&gt;=B55,-PMT,"")</f>
        <v>1131.54</v>
      </c>
      <c r="F55" s="106">
        <f>IF(Term&gt;=B55,Loan-SUM(C$10:C55),"")</f>
        <v>239576.53</v>
      </c>
    </row>
    <row r="56" spans="2:6">
      <c r="B56" s="28">
        <f t="shared" si="0"/>
        <v>46</v>
      </c>
      <c r="C56" s="109">
        <f>IF(Term&gt;=B56,E56-D56,"")</f>
        <v>482.68999999999994</v>
      </c>
      <c r="D56" s="109">
        <f>IF(Term&gt;=B56,ROUND(F55*Rate/PYR,2),"")</f>
        <v>648.85</v>
      </c>
      <c r="E56" s="109">
        <f>IF(Term&gt;=B56,-PMT,"")</f>
        <v>1131.54</v>
      </c>
      <c r="F56" s="109">
        <f>IF(Term&gt;=B56,Loan-SUM(C$10:C56),"")</f>
        <v>239093.84</v>
      </c>
    </row>
    <row r="57" spans="2:6">
      <c r="B57" s="111">
        <f t="shared" si="0"/>
        <v>47</v>
      </c>
      <c r="C57" s="106">
        <f>IF(Term&gt;=B57,E57-D57,"")</f>
        <v>483.99</v>
      </c>
      <c r="D57" s="106">
        <f>IF(Term&gt;=B57,ROUND(F56*Rate/PYR,2),"")</f>
        <v>647.54999999999995</v>
      </c>
      <c r="E57" s="106">
        <f>IF(Term&gt;=B57,-PMT,"")</f>
        <v>1131.54</v>
      </c>
      <c r="F57" s="106">
        <f>IF(Term&gt;=B57,Loan-SUM(C$10:C57),"")</f>
        <v>238609.85</v>
      </c>
    </row>
    <row r="58" spans="2:6">
      <c r="B58" s="28">
        <f t="shared" si="0"/>
        <v>48</v>
      </c>
      <c r="C58" s="109">
        <f>IF(Term&gt;=B58,E58-D58,"")</f>
        <v>485.29999999999995</v>
      </c>
      <c r="D58" s="109">
        <f>IF(Term&gt;=B58,ROUND(F57*Rate/PYR,2),"")</f>
        <v>646.24</v>
      </c>
      <c r="E58" s="109">
        <f>IF(Term&gt;=B58,-PMT,"")</f>
        <v>1131.54</v>
      </c>
      <c r="F58" s="109">
        <f>IF(Term&gt;=B58,Loan-SUM(C$10:C58),"")</f>
        <v>238124.55</v>
      </c>
    </row>
    <row r="59" spans="2:6">
      <c r="B59" s="111">
        <f t="shared" si="0"/>
        <v>49</v>
      </c>
      <c r="C59" s="106">
        <f>IF(Term&gt;=B59,E59-D59,"")</f>
        <v>486.62</v>
      </c>
      <c r="D59" s="106">
        <f>IF(Term&gt;=B59,ROUND(F58*Rate/PYR,2),"")</f>
        <v>644.91999999999996</v>
      </c>
      <c r="E59" s="106">
        <f>IF(Term&gt;=B59,-PMT,"")</f>
        <v>1131.54</v>
      </c>
      <c r="F59" s="106">
        <f>IF(Term&gt;=B59,Loan-SUM(C$10:C59),"")</f>
        <v>237637.93</v>
      </c>
    </row>
    <row r="60" spans="2:6">
      <c r="B60" s="28">
        <f t="shared" si="0"/>
        <v>50</v>
      </c>
      <c r="C60" s="109">
        <f>IF(Term&gt;=B60,E60-D60,"")</f>
        <v>487.93999999999994</v>
      </c>
      <c r="D60" s="109">
        <f>IF(Term&gt;=B60,ROUND(F59*Rate/PYR,2),"")</f>
        <v>643.6</v>
      </c>
      <c r="E60" s="109">
        <f>IF(Term&gt;=B60,-PMT,"")</f>
        <v>1131.54</v>
      </c>
      <c r="F60" s="109">
        <f>IF(Term&gt;=B60,Loan-SUM(C$10:C60),"")</f>
        <v>237149.99</v>
      </c>
    </row>
    <row r="61" spans="2:6">
      <c r="B61" s="111">
        <f t="shared" si="0"/>
        <v>51</v>
      </c>
      <c r="C61" s="106">
        <f>IF(Term&gt;=B61,E61-D61,"")</f>
        <v>489.26</v>
      </c>
      <c r="D61" s="106">
        <f>IF(Term&gt;=B61,ROUND(F60*Rate/PYR,2),"")</f>
        <v>642.28</v>
      </c>
      <c r="E61" s="106">
        <f>IF(Term&gt;=B61,-PMT,"")</f>
        <v>1131.54</v>
      </c>
      <c r="F61" s="106">
        <f>IF(Term&gt;=B61,Loan-SUM(C$10:C61),"")</f>
        <v>236660.73</v>
      </c>
    </row>
    <row r="62" spans="2:6">
      <c r="B62" s="28">
        <f t="shared" si="0"/>
        <v>52</v>
      </c>
      <c r="C62" s="109">
        <f>IF(Term&gt;=B62,E62-D62,"")</f>
        <v>490.57999999999993</v>
      </c>
      <c r="D62" s="109">
        <f>IF(Term&gt;=B62,ROUND(F61*Rate/PYR,2),"")</f>
        <v>640.96</v>
      </c>
      <c r="E62" s="109">
        <f>IF(Term&gt;=B62,-PMT,"")</f>
        <v>1131.54</v>
      </c>
      <c r="F62" s="109">
        <f>IF(Term&gt;=B62,Loan-SUM(C$10:C62),"")</f>
        <v>236170.15</v>
      </c>
    </row>
    <row r="63" spans="2:6">
      <c r="B63" s="111">
        <f t="shared" si="0"/>
        <v>53</v>
      </c>
      <c r="C63" s="106">
        <f>IF(Term&gt;=B63,E63-D63,"")</f>
        <v>491.90999999999997</v>
      </c>
      <c r="D63" s="106">
        <f>IF(Term&gt;=B63,ROUND(F62*Rate/PYR,2),"")</f>
        <v>639.63</v>
      </c>
      <c r="E63" s="106">
        <f>IF(Term&gt;=B63,-PMT,"")</f>
        <v>1131.54</v>
      </c>
      <c r="F63" s="106">
        <f>IF(Term&gt;=B63,Loan-SUM(C$10:C63),"")</f>
        <v>235678.24</v>
      </c>
    </row>
    <row r="64" spans="2:6">
      <c r="B64" s="28">
        <f t="shared" si="0"/>
        <v>54</v>
      </c>
      <c r="C64" s="109">
        <f>IF(Term&gt;=B64,E64-D64,"")</f>
        <v>493.24</v>
      </c>
      <c r="D64" s="109">
        <f>IF(Term&gt;=B64,ROUND(F63*Rate/PYR,2),"")</f>
        <v>638.29999999999995</v>
      </c>
      <c r="E64" s="109">
        <f>IF(Term&gt;=B64,-PMT,"")</f>
        <v>1131.54</v>
      </c>
      <c r="F64" s="109">
        <f>IF(Term&gt;=B64,Loan-SUM(C$10:C64),"")</f>
        <v>235185</v>
      </c>
    </row>
    <row r="65" spans="2:6">
      <c r="B65" s="111">
        <f t="shared" si="0"/>
        <v>55</v>
      </c>
      <c r="C65" s="106">
        <f>IF(Term&gt;=B65,E65-D65,"")</f>
        <v>494.57999999999993</v>
      </c>
      <c r="D65" s="106">
        <f>IF(Term&gt;=B65,ROUND(F64*Rate/PYR,2),"")</f>
        <v>636.96</v>
      </c>
      <c r="E65" s="106">
        <f>IF(Term&gt;=B65,-PMT,"")</f>
        <v>1131.54</v>
      </c>
      <c r="F65" s="106">
        <f>IF(Term&gt;=B65,Loan-SUM(C$10:C65),"")</f>
        <v>234690.41999999998</v>
      </c>
    </row>
    <row r="66" spans="2:6">
      <c r="B66" s="28">
        <f t="shared" si="0"/>
        <v>56</v>
      </c>
      <c r="C66" s="109">
        <f>IF(Term&gt;=B66,E66-D66,"")</f>
        <v>495.91999999999996</v>
      </c>
      <c r="D66" s="109">
        <f>IF(Term&gt;=B66,ROUND(F65*Rate/PYR,2),"")</f>
        <v>635.62</v>
      </c>
      <c r="E66" s="109">
        <f>IF(Term&gt;=B66,-PMT,"")</f>
        <v>1131.54</v>
      </c>
      <c r="F66" s="109">
        <f>IF(Term&gt;=B66,Loan-SUM(C$10:C66),"")</f>
        <v>234194.5</v>
      </c>
    </row>
    <row r="67" spans="2:6">
      <c r="B67" s="111">
        <f t="shared" si="0"/>
        <v>57</v>
      </c>
      <c r="C67" s="106">
        <f>IF(Term&gt;=B67,E67-D67,"")</f>
        <v>497.26</v>
      </c>
      <c r="D67" s="106">
        <f>IF(Term&gt;=B67,ROUND(F66*Rate/PYR,2),"")</f>
        <v>634.28</v>
      </c>
      <c r="E67" s="106">
        <f>IF(Term&gt;=B67,-PMT,"")</f>
        <v>1131.54</v>
      </c>
      <c r="F67" s="106">
        <f>IF(Term&gt;=B67,Loan-SUM(C$10:C67),"")</f>
        <v>233697.24</v>
      </c>
    </row>
    <row r="68" spans="2:6">
      <c r="B68" s="28">
        <f t="shared" si="0"/>
        <v>58</v>
      </c>
      <c r="C68" s="109">
        <f>IF(Term&gt;=B68,E68-D68,"")</f>
        <v>498.61</v>
      </c>
      <c r="D68" s="109">
        <f>IF(Term&gt;=B68,ROUND(F67*Rate/PYR,2),"")</f>
        <v>632.92999999999995</v>
      </c>
      <c r="E68" s="109">
        <f>IF(Term&gt;=B68,-PMT,"")</f>
        <v>1131.54</v>
      </c>
      <c r="F68" s="109">
        <f>IF(Term&gt;=B68,Loan-SUM(C$10:C68),"")</f>
        <v>233198.63</v>
      </c>
    </row>
    <row r="69" spans="2:6">
      <c r="B69" s="111">
        <f t="shared" si="0"/>
        <v>59</v>
      </c>
      <c r="C69" s="106">
        <f>IF(Term&gt;=B69,E69-D69,"")</f>
        <v>499.95999999999992</v>
      </c>
      <c r="D69" s="106">
        <f>IF(Term&gt;=B69,ROUND(F68*Rate/PYR,2),"")</f>
        <v>631.58000000000004</v>
      </c>
      <c r="E69" s="106">
        <f>IF(Term&gt;=B69,-PMT,"")</f>
        <v>1131.54</v>
      </c>
      <c r="F69" s="106">
        <f>IF(Term&gt;=B69,Loan-SUM(C$10:C69),"")</f>
        <v>232698.67</v>
      </c>
    </row>
    <row r="70" spans="2:6">
      <c r="B70" s="28">
        <f t="shared" si="0"/>
        <v>60</v>
      </c>
      <c r="C70" s="109">
        <f>IF(Term&gt;=B70,E70-D70,"")</f>
        <v>501.30999999999995</v>
      </c>
      <c r="D70" s="109">
        <f>IF(Term&gt;=B70,ROUND(F69*Rate/PYR,2),"")</f>
        <v>630.23</v>
      </c>
      <c r="E70" s="109">
        <f>IF(Term&gt;=B70,-PMT,"")</f>
        <v>1131.54</v>
      </c>
      <c r="F70" s="109">
        <f>IF(Term&gt;=B70,Loan-SUM(C$10:C70),"")</f>
        <v>232197.36</v>
      </c>
    </row>
    <row r="71" spans="2:6">
      <c r="B71" s="111">
        <f t="shared" si="0"/>
        <v>61</v>
      </c>
      <c r="C71" s="106">
        <f>IF(Term&gt;=B71,E71-D71,"")</f>
        <v>502.66999999999996</v>
      </c>
      <c r="D71" s="106">
        <f>IF(Term&gt;=B71,ROUND(F70*Rate/PYR,2),"")</f>
        <v>628.87</v>
      </c>
      <c r="E71" s="106">
        <f>IF(Term&gt;=B71,-PMT,"")</f>
        <v>1131.54</v>
      </c>
      <c r="F71" s="106">
        <f>IF(Term&gt;=B71,Loan-SUM(C$10:C71),"")</f>
        <v>231694.69</v>
      </c>
    </row>
    <row r="72" spans="2:6">
      <c r="B72" s="28">
        <f t="shared" si="0"/>
        <v>62</v>
      </c>
      <c r="C72" s="109">
        <f>IF(Term&gt;=B72,E72-D72,"")</f>
        <v>504.03</v>
      </c>
      <c r="D72" s="109">
        <f>IF(Term&gt;=B72,ROUND(F71*Rate/PYR,2),"")</f>
        <v>627.51</v>
      </c>
      <c r="E72" s="109">
        <f>IF(Term&gt;=B72,-PMT,"")</f>
        <v>1131.54</v>
      </c>
      <c r="F72" s="109">
        <f>IF(Term&gt;=B72,Loan-SUM(C$10:C72),"")</f>
        <v>231190.66</v>
      </c>
    </row>
    <row r="73" spans="2:6">
      <c r="B73" s="111">
        <f t="shared" si="0"/>
        <v>63</v>
      </c>
      <c r="C73" s="106">
        <f>IF(Term&gt;=B73,E73-D73,"")</f>
        <v>505.4</v>
      </c>
      <c r="D73" s="106">
        <f>IF(Term&gt;=B73,ROUND(F72*Rate/PYR,2),"")</f>
        <v>626.14</v>
      </c>
      <c r="E73" s="106">
        <f>IF(Term&gt;=B73,-PMT,"")</f>
        <v>1131.54</v>
      </c>
      <c r="F73" s="106">
        <f>IF(Term&gt;=B73,Loan-SUM(C$10:C73),"")</f>
        <v>230685.26</v>
      </c>
    </row>
    <row r="74" spans="2:6">
      <c r="B74" s="28">
        <f t="shared" si="0"/>
        <v>64</v>
      </c>
      <c r="C74" s="109">
        <f>IF(Term&gt;=B74,E74-D74,"")</f>
        <v>506.77</v>
      </c>
      <c r="D74" s="109">
        <f>IF(Term&gt;=B74,ROUND(F73*Rate/PYR,2),"")</f>
        <v>624.77</v>
      </c>
      <c r="E74" s="109">
        <f>IF(Term&gt;=B74,-PMT,"")</f>
        <v>1131.54</v>
      </c>
      <c r="F74" s="109">
        <f>IF(Term&gt;=B74,Loan-SUM(C$10:C74),"")</f>
        <v>230178.49</v>
      </c>
    </row>
    <row r="75" spans="2:6">
      <c r="B75" s="111">
        <f t="shared" si="0"/>
        <v>65</v>
      </c>
      <c r="C75" s="106">
        <f>IF(Term&gt;=B75,E75-D75,"")</f>
        <v>508.14</v>
      </c>
      <c r="D75" s="106">
        <f>IF(Term&gt;=B75,ROUND(F74*Rate/PYR,2),"")</f>
        <v>623.4</v>
      </c>
      <c r="E75" s="106">
        <f>IF(Term&gt;=B75,-PMT,"")</f>
        <v>1131.54</v>
      </c>
      <c r="F75" s="106">
        <f>IF(Term&gt;=B75,Loan-SUM(C$10:C75),"")</f>
        <v>229670.35</v>
      </c>
    </row>
    <row r="76" spans="2:6">
      <c r="B76" s="28">
        <f t="shared" si="0"/>
        <v>66</v>
      </c>
      <c r="C76" s="109">
        <f>IF(Term&gt;=B76,E76-D76,"")</f>
        <v>509.52</v>
      </c>
      <c r="D76" s="109">
        <f>IF(Term&gt;=B76,ROUND(F75*Rate/PYR,2),"")</f>
        <v>622.02</v>
      </c>
      <c r="E76" s="109">
        <f>IF(Term&gt;=B76,-PMT,"")</f>
        <v>1131.54</v>
      </c>
      <c r="F76" s="109">
        <f>IF(Term&gt;=B76,Loan-SUM(C$10:C76),"")</f>
        <v>229160.83000000002</v>
      </c>
    </row>
    <row r="77" spans="2:6">
      <c r="B77" s="111">
        <f t="shared" ref="B77:B140" si="1">B76+1</f>
        <v>67</v>
      </c>
      <c r="C77" s="106">
        <f>IF(Term&gt;=B77,E77-D77,"")</f>
        <v>510.9</v>
      </c>
      <c r="D77" s="106">
        <f>IF(Term&gt;=B77,ROUND(F76*Rate/PYR,2),"")</f>
        <v>620.64</v>
      </c>
      <c r="E77" s="106">
        <f>IF(Term&gt;=B77,-PMT,"")</f>
        <v>1131.54</v>
      </c>
      <c r="F77" s="106">
        <f>IF(Term&gt;=B77,Loan-SUM(C$10:C77),"")</f>
        <v>228649.93</v>
      </c>
    </row>
    <row r="78" spans="2:6">
      <c r="B78" s="28">
        <f t="shared" si="1"/>
        <v>68</v>
      </c>
      <c r="C78" s="109">
        <f>IF(Term&gt;=B78,E78-D78,"")</f>
        <v>512.28</v>
      </c>
      <c r="D78" s="109">
        <f>IF(Term&gt;=B78,ROUND(F77*Rate/PYR,2),"")</f>
        <v>619.26</v>
      </c>
      <c r="E78" s="109">
        <f>IF(Term&gt;=B78,-PMT,"")</f>
        <v>1131.54</v>
      </c>
      <c r="F78" s="109">
        <f>IF(Term&gt;=B78,Loan-SUM(C$10:C78),"")</f>
        <v>228137.65</v>
      </c>
    </row>
    <row r="79" spans="2:6">
      <c r="B79" s="111">
        <f t="shared" si="1"/>
        <v>69</v>
      </c>
      <c r="C79" s="106">
        <f>IF(Term&gt;=B79,E79-D79,"")</f>
        <v>513.66999999999996</v>
      </c>
      <c r="D79" s="106">
        <f>IF(Term&gt;=B79,ROUND(F78*Rate/PYR,2),"")</f>
        <v>617.87</v>
      </c>
      <c r="E79" s="106">
        <f>IF(Term&gt;=B79,-PMT,"")</f>
        <v>1131.54</v>
      </c>
      <c r="F79" s="106">
        <f>IF(Term&gt;=B79,Loan-SUM(C$10:C79),"")</f>
        <v>227623.98</v>
      </c>
    </row>
    <row r="80" spans="2:6">
      <c r="B80" s="28">
        <f t="shared" si="1"/>
        <v>70</v>
      </c>
      <c r="C80" s="109">
        <f>IF(Term&gt;=B80,E80-D80,"")</f>
        <v>515.05999999999995</v>
      </c>
      <c r="D80" s="109">
        <f>IF(Term&gt;=B80,ROUND(F79*Rate/PYR,2),"")</f>
        <v>616.48</v>
      </c>
      <c r="E80" s="109">
        <f>IF(Term&gt;=B80,-PMT,"")</f>
        <v>1131.54</v>
      </c>
      <c r="F80" s="109">
        <f>IF(Term&gt;=B80,Loan-SUM(C$10:C80),"")</f>
        <v>227108.92</v>
      </c>
    </row>
    <row r="81" spans="2:6">
      <c r="B81" s="111">
        <f t="shared" si="1"/>
        <v>71</v>
      </c>
      <c r="C81" s="106">
        <f>IF(Term&gt;=B81,E81-D81,"")</f>
        <v>516.44999999999993</v>
      </c>
      <c r="D81" s="106">
        <f>IF(Term&gt;=B81,ROUND(F80*Rate/PYR,2),"")</f>
        <v>615.09</v>
      </c>
      <c r="E81" s="106">
        <f>IF(Term&gt;=B81,-PMT,"")</f>
        <v>1131.54</v>
      </c>
      <c r="F81" s="106">
        <f>IF(Term&gt;=B81,Loan-SUM(C$10:C81),"")</f>
        <v>226592.47</v>
      </c>
    </row>
    <row r="82" spans="2:6">
      <c r="B82" s="28">
        <f t="shared" si="1"/>
        <v>72</v>
      </c>
      <c r="C82" s="109">
        <f>IF(Term&gt;=B82,E82-D82,"")</f>
        <v>517.84999999999991</v>
      </c>
      <c r="D82" s="109">
        <f>IF(Term&gt;=B82,ROUND(F81*Rate/PYR,2),"")</f>
        <v>613.69000000000005</v>
      </c>
      <c r="E82" s="109">
        <f>IF(Term&gt;=B82,-PMT,"")</f>
        <v>1131.54</v>
      </c>
      <c r="F82" s="109">
        <f>IF(Term&gt;=B82,Loan-SUM(C$10:C82),"")</f>
        <v>226074.62</v>
      </c>
    </row>
    <row r="83" spans="2:6">
      <c r="B83" s="111">
        <f t="shared" si="1"/>
        <v>73</v>
      </c>
      <c r="C83" s="106">
        <f>IF(Term&gt;=B83,E83-D83,"")</f>
        <v>519.25</v>
      </c>
      <c r="D83" s="106">
        <f>IF(Term&gt;=B83,ROUND(F82*Rate/PYR,2),"")</f>
        <v>612.29</v>
      </c>
      <c r="E83" s="106">
        <f>IF(Term&gt;=B83,-PMT,"")</f>
        <v>1131.54</v>
      </c>
      <c r="F83" s="106">
        <f>IF(Term&gt;=B83,Loan-SUM(C$10:C83),"")</f>
        <v>225555.37</v>
      </c>
    </row>
    <row r="84" spans="2:6">
      <c r="B84" s="28">
        <f t="shared" si="1"/>
        <v>74</v>
      </c>
      <c r="C84" s="109">
        <f>IF(Term&gt;=B84,E84-D84,"")</f>
        <v>520.66</v>
      </c>
      <c r="D84" s="109">
        <f>IF(Term&gt;=B84,ROUND(F83*Rate/PYR,2),"")</f>
        <v>610.88</v>
      </c>
      <c r="E84" s="109">
        <f>IF(Term&gt;=B84,-PMT,"")</f>
        <v>1131.54</v>
      </c>
      <c r="F84" s="109">
        <f>IF(Term&gt;=B84,Loan-SUM(C$10:C84),"")</f>
        <v>225034.71000000002</v>
      </c>
    </row>
    <row r="85" spans="2:6">
      <c r="B85" s="111">
        <f t="shared" si="1"/>
        <v>75</v>
      </c>
      <c r="C85" s="106">
        <f>IF(Term&gt;=B85,E85-D85,"")</f>
        <v>522.06999999999994</v>
      </c>
      <c r="D85" s="106">
        <f>IF(Term&gt;=B85,ROUND(F84*Rate/PYR,2),"")</f>
        <v>609.47</v>
      </c>
      <c r="E85" s="106">
        <f>IF(Term&gt;=B85,-PMT,"")</f>
        <v>1131.54</v>
      </c>
      <c r="F85" s="106">
        <f>IF(Term&gt;=B85,Loan-SUM(C$10:C85),"")</f>
        <v>224512.64000000001</v>
      </c>
    </row>
    <row r="86" spans="2:6">
      <c r="B86" s="28">
        <f t="shared" si="1"/>
        <v>76</v>
      </c>
      <c r="C86" s="109">
        <f>IF(Term&gt;=B86,E86-D86,"")</f>
        <v>523.48</v>
      </c>
      <c r="D86" s="109">
        <f>IF(Term&gt;=B86,ROUND(F85*Rate/PYR,2),"")</f>
        <v>608.05999999999995</v>
      </c>
      <c r="E86" s="109">
        <f>IF(Term&gt;=B86,-PMT,"")</f>
        <v>1131.54</v>
      </c>
      <c r="F86" s="109">
        <f>IF(Term&gt;=B86,Loan-SUM(C$10:C86),"")</f>
        <v>223989.16</v>
      </c>
    </row>
    <row r="87" spans="2:6">
      <c r="B87" s="111">
        <f t="shared" si="1"/>
        <v>77</v>
      </c>
      <c r="C87" s="106">
        <f>IF(Term&gt;=B87,E87-D87,"")</f>
        <v>524.9</v>
      </c>
      <c r="D87" s="106">
        <f>IF(Term&gt;=B87,ROUND(F86*Rate/PYR,2),"")</f>
        <v>606.64</v>
      </c>
      <c r="E87" s="106">
        <f>IF(Term&gt;=B87,-PMT,"")</f>
        <v>1131.54</v>
      </c>
      <c r="F87" s="106">
        <f>IF(Term&gt;=B87,Loan-SUM(C$10:C87),"")</f>
        <v>223464.26</v>
      </c>
    </row>
    <row r="88" spans="2:6">
      <c r="B88" s="28">
        <f t="shared" si="1"/>
        <v>78</v>
      </c>
      <c r="C88" s="109">
        <f>IF(Term&gt;=B88,E88-D88,"")</f>
        <v>526.31999999999994</v>
      </c>
      <c r="D88" s="109">
        <f>IF(Term&gt;=B88,ROUND(F87*Rate/PYR,2),"")</f>
        <v>605.22</v>
      </c>
      <c r="E88" s="109">
        <f>IF(Term&gt;=B88,-PMT,"")</f>
        <v>1131.54</v>
      </c>
      <c r="F88" s="109">
        <f>IF(Term&gt;=B88,Loan-SUM(C$10:C88),"")</f>
        <v>222937.94</v>
      </c>
    </row>
    <row r="89" spans="2:6">
      <c r="B89" s="111">
        <f t="shared" si="1"/>
        <v>79</v>
      </c>
      <c r="C89" s="106">
        <f>IF(Term&gt;=B89,E89-D89,"")</f>
        <v>527.75</v>
      </c>
      <c r="D89" s="106">
        <f>IF(Term&gt;=B89,ROUND(F88*Rate/PYR,2),"")</f>
        <v>603.79</v>
      </c>
      <c r="E89" s="106">
        <f>IF(Term&gt;=B89,-PMT,"")</f>
        <v>1131.54</v>
      </c>
      <c r="F89" s="106">
        <f>IF(Term&gt;=B89,Loan-SUM(C$10:C89),"")</f>
        <v>222410.19</v>
      </c>
    </row>
    <row r="90" spans="2:6">
      <c r="B90" s="28">
        <f t="shared" si="1"/>
        <v>80</v>
      </c>
      <c r="C90" s="109">
        <f>IF(Term&gt;=B90,E90-D90,"")</f>
        <v>529.17999999999995</v>
      </c>
      <c r="D90" s="109">
        <f>IF(Term&gt;=B90,ROUND(F89*Rate/PYR,2),"")</f>
        <v>602.36</v>
      </c>
      <c r="E90" s="109">
        <f>IF(Term&gt;=B90,-PMT,"")</f>
        <v>1131.54</v>
      </c>
      <c r="F90" s="109">
        <f>IF(Term&gt;=B90,Loan-SUM(C$10:C90),"")</f>
        <v>221881.01</v>
      </c>
    </row>
    <row r="91" spans="2:6">
      <c r="B91" s="111">
        <f t="shared" si="1"/>
        <v>81</v>
      </c>
      <c r="C91" s="106">
        <f>IF(Term&gt;=B91,E91-D91,"")</f>
        <v>530.61</v>
      </c>
      <c r="D91" s="106">
        <f>IF(Term&gt;=B91,ROUND(F90*Rate/PYR,2),"")</f>
        <v>600.92999999999995</v>
      </c>
      <c r="E91" s="106">
        <f>IF(Term&gt;=B91,-PMT,"")</f>
        <v>1131.54</v>
      </c>
      <c r="F91" s="106">
        <f>IF(Term&gt;=B91,Loan-SUM(C$10:C91),"")</f>
        <v>221350.39999999999</v>
      </c>
    </row>
    <row r="92" spans="2:6">
      <c r="B92" s="28">
        <f t="shared" si="1"/>
        <v>82</v>
      </c>
      <c r="C92" s="109">
        <f>IF(Term&gt;=B92,E92-D92,"")</f>
        <v>532.04999999999995</v>
      </c>
      <c r="D92" s="109">
        <f>IF(Term&gt;=B92,ROUND(F91*Rate/PYR,2),"")</f>
        <v>599.49</v>
      </c>
      <c r="E92" s="109">
        <f>IF(Term&gt;=B92,-PMT,"")</f>
        <v>1131.54</v>
      </c>
      <c r="F92" s="109">
        <f>IF(Term&gt;=B92,Loan-SUM(C$10:C92),"")</f>
        <v>220818.35</v>
      </c>
    </row>
    <row r="93" spans="2:6">
      <c r="B93" s="111">
        <f t="shared" si="1"/>
        <v>83</v>
      </c>
      <c r="C93" s="106">
        <f>IF(Term&gt;=B93,E93-D93,"")</f>
        <v>533.49</v>
      </c>
      <c r="D93" s="106">
        <f>IF(Term&gt;=B93,ROUND(F92*Rate/PYR,2),"")</f>
        <v>598.04999999999995</v>
      </c>
      <c r="E93" s="106">
        <f>IF(Term&gt;=B93,-PMT,"")</f>
        <v>1131.54</v>
      </c>
      <c r="F93" s="106">
        <f>IF(Term&gt;=B93,Loan-SUM(C$10:C93),"")</f>
        <v>220284.86</v>
      </c>
    </row>
    <row r="94" spans="2:6">
      <c r="B94" s="28">
        <f t="shared" si="1"/>
        <v>84</v>
      </c>
      <c r="C94" s="109">
        <f>IF(Term&gt;=B94,E94-D94,"")</f>
        <v>534.93999999999994</v>
      </c>
      <c r="D94" s="109">
        <f>IF(Term&gt;=B94,ROUND(F93*Rate/PYR,2),"")</f>
        <v>596.6</v>
      </c>
      <c r="E94" s="109">
        <f>IF(Term&gt;=B94,-PMT,"")</f>
        <v>1131.54</v>
      </c>
      <c r="F94" s="109">
        <f>IF(Term&gt;=B94,Loan-SUM(C$10:C94),"")</f>
        <v>219749.91999999998</v>
      </c>
    </row>
    <row r="95" spans="2:6">
      <c r="B95" s="111">
        <f t="shared" si="1"/>
        <v>85</v>
      </c>
      <c r="C95" s="106">
        <f>IF(Term&gt;=B95,E95-D95,"")</f>
        <v>536.38</v>
      </c>
      <c r="D95" s="106">
        <f>IF(Term&gt;=B95,ROUND(F94*Rate/PYR,2),"")</f>
        <v>595.16</v>
      </c>
      <c r="E95" s="106">
        <f>IF(Term&gt;=B95,-PMT,"")</f>
        <v>1131.54</v>
      </c>
      <c r="F95" s="106">
        <f>IF(Term&gt;=B95,Loan-SUM(C$10:C95),"")</f>
        <v>219213.54</v>
      </c>
    </row>
    <row r="96" spans="2:6">
      <c r="B96" s="28">
        <f t="shared" si="1"/>
        <v>86</v>
      </c>
      <c r="C96" s="109">
        <f>IF(Term&gt;=B96,E96-D96,"")</f>
        <v>537.83999999999992</v>
      </c>
      <c r="D96" s="109">
        <f>IF(Term&gt;=B96,ROUND(F95*Rate/PYR,2),"")</f>
        <v>593.70000000000005</v>
      </c>
      <c r="E96" s="109">
        <f>IF(Term&gt;=B96,-PMT,"")</f>
        <v>1131.54</v>
      </c>
      <c r="F96" s="109">
        <f>IF(Term&gt;=B96,Loan-SUM(C$10:C96),"")</f>
        <v>218675.7</v>
      </c>
    </row>
    <row r="97" spans="2:6">
      <c r="B97" s="111">
        <f t="shared" si="1"/>
        <v>87</v>
      </c>
      <c r="C97" s="106">
        <f>IF(Term&gt;=B97,E97-D97,"")</f>
        <v>539.29</v>
      </c>
      <c r="D97" s="106">
        <f>IF(Term&gt;=B97,ROUND(F96*Rate/PYR,2),"")</f>
        <v>592.25</v>
      </c>
      <c r="E97" s="106">
        <f>IF(Term&gt;=B97,-PMT,"")</f>
        <v>1131.54</v>
      </c>
      <c r="F97" s="106">
        <f>IF(Term&gt;=B97,Loan-SUM(C$10:C97),"")</f>
        <v>218136.41</v>
      </c>
    </row>
    <row r="98" spans="2:6">
      <c r="B98" s="28">
        <f t="shared" si="1"/>
        <v>88</v>
      </c>
      <c r="C98" s="109">
        <f>IF(Term&gt;=B98,E98-D98,"")</f>
        <v>540.75</v>
      </c>
      <c r="D98" s="109">
        <f>IF(Term&gt;=B98,ROUND(F97*Rate/PYR,2),"")</f>
        <v>590.79</v>
      </c>
      <c r="E98" s="109">
        <f>IF(Term&gt;=B98,-PMT,"")</f>
        <v>1131.54</v>
      </c>
      <c r="F98" s="109">
        <f>IF(Term&gt;=B98,Loan-SUM(C$10:C98),"")</f>
        <v>217595.66</v>
      </c>
    </row>
    <row r="99" spans="2:6">
      <c r="B99" s="111">
        <f t="shared" si="1"/>
        <v>89</v>
      </c>
      <c r="C99" s="106">
        <f>IF(Term&gt;=B99,E99-D99,"")</f>
        <v>542.21999999999991</v>
      </c>
      <c r="D99" s="106">
        <f>IF(Term&gt;=B99,ROUND(F98*Rate/PYR,2),"")</f>
        <v>589.32000000000005</v>
      </c>
      <c r="E99" s="106">
        <f>IF(Term&gt;=B99,-PMT,"")</f>
        <v>1131.54</v>
      </c>
      <c r="F99" s="106">
        <f>IF(Term&gt;=B99,Loan-SUM(C$10:C99),"")</f>
        <v>217053.44</v>
      </c>
    </row>
    <row r="100" spans="2:6">
      <c r="B100" s="28">
        <f t="shared" si="1"/>
        <v>90</v>
      </c>
      <c r="C100" s="109">
        <f>IF(Term&gt;=B100,E100-D100,"")</f>
        <v>543.68999999999994</v>
      </c>
      <c r="D100" s="109">
        <f>IF(Term&gt;=B100,ROUND(F99*Rate/PYR,2),"")</f>
        <v>587.85</v>
      </c>
      <c r="E100" s="109">
        <f>IF(Term&gt;=B100,-PMT,"")</f>
        <v>1131.54</v>
      </c>
      <c r="F100" s="109">
        <f>IF(Term&gt;=B100,Loan-SUM(C$10:C100),"")</f>
        <v>216509.75</v>
      </c>
    </row>
    <row r="101" spans="2:6">
      <c r="B101" s="111">
        <f t="shared" si="1"/>
        <v>91</v>
      </c>
      <c r="C101" s="106">
        <f>IF(Term&gt;=B101,E101-D101,"")</f>
        <v>545.16</v>
      </c>
      <c r="D101" s="106">
        <f>IF(Term&gt;=B101,ROUND(F100*Rate/PYR,2),"")</f>
        <v>586.38</v>
      </c>
      <c r="E101" s="106">
        <f>IF(Term&gt;=B101,-PMT,"")</f>
        <v>1131.54</v>
      </c>
      <c r="F101" s="106">
        <f>IF(Term&gt;=B101,Loan-SUM(C$10:C101),"")</f>
        <v>215964.59</v>
      </c>
    </row>
    <row r="102" spans="2:6">
      <c r="B102" s="28">
        <f t="shared" si="1"/>
        <v>92</v>
      </c>
      <c r="C102" s="109">
        <f>IF(Term&gt;=B102,E102-D102,"")</f>
        <v>546.64</v>
      </c>
      <c r="D102" s="109">
        <f>IF(Term&gt;=B102,ROUND(F101*Rate/PYR,2),"")</f>
        <v>584.9</v>
      </c>
      <c r="E102" s="109">
        <f>IF(Term&gt;=B102,-PMT,"")</f>
        <v>1131.54</v>
      </c>
      <c r="F102" s="109">
        <f>IF(Term&gt;=B102,Loan-SUM(C$10:C102),"")</f>
        <v>215417.95</v>
      </c>
    </row>
    <row r="103" spans="2:6">
      <c r="B103" s="111">
        <f t="shared" si="1"/>
        <v>93</v>
      </c>
      <c r="C103" s="106">
        <f>IF(Term&gt;=B103,E103-D103,"")</f>
        <v>548.12</v>
      </c>
      <c r="D103" s="106">
        <f>IF(Term&gt;=B103,ROUND(F102*Rate/PYR,2),"")</f>
        <v>583.41999999999996</v>
      </c>
      <c r="E103" s="106">
        <f>IF(Term&gt;=B103,-PMT,"")</f>
        <v>1131.54</v>
      </c>
      <c r="F103" s="106">
        <f>IF(Term&gt;=B103,Loan-SUM(C$10:C103),"")</f>
        <v>214869.83</v>
      </c>
    </row>
    <row r="104" spans="2:6">
      <c r="B104" s="28">
        <f t="shared" si="1"/>
        <v>94</v>
      </c>
      <c r="C104" s="109">
        <f>IF(Term&gt;=B104,E104-D104,"")</f>
        <v>549.59999999999991</v>
      </c>
      <c r="D104" s="109">
        <f>IF(Term&gt;=B104,ROUND(F103*Rate/PYR,2),"")</f>
        <v>581.94000000000005</v>
      </c>
      <c r="E104" s="109">
        <f>IF(Term&gt;=B104,-PMT,"")</f>
        <v>1131.54</v>
      </c>
      <c r="F104" s="109">
        <f>IF(Term&gt;=B104,Loan-SUM(C$10:C104),"")</f>
        <v>214320.22999999998</v>
      </c>
    </row>
    <row r="105" spans="2:6">
      <c r="B105" s="111">
        <f t="shared" si="1"/>
        <v>95</v>
      </c>
      <c r="C105" s="106">
        <f>IF(Term&gt;=B105,E105-D105,"")</f>
        <v>551.08999999999992</v>
      </c>
      <c r="D105" s="106">
        <f>IF(Term&gt;=B105,ROUND(F104*Rate/PYR,2),"")</f>
        <v>580.45000000000005</v>
      </c>
      <c r="E105" s="106">
        <f>IF(Term&gt;=B105,-PMT,"")</f>
        <v>1131.54</v>
      </c>
      <c r="F105" s="106">
        <f>IF(Term&gt;=B105,Loan-SUM(C$10:C105),"")</f>
        <v>213769.14</v>
      </c>
    </row>
    <row r="106" spans="2:6">
      <c r="B106" s="28">
        <f t="shared" si="1"/>
        <v>96</v>
      </c>
      <c r="C106" s="109">
        <f>IF(Term&gt;=B106,E106-D106,"")</f>
        <v>552.57999999999993</v>
      </c>
      <c r="D106" s="109">
        <f>IF(Term&gt;=B106,ROUND(F105*Rate/PYR,2),"")</f>
        <v>578.96</v>
      </c>
      <c r="E106" s="109">
        <f>IF(Term&gt;=B106,-PMT,"")</f>
        <v>1131.54</v>
      </c>
      <c r="F106" s="109">
        <f>IF(Term&gt;=B106,Loan-SUM(C$10:C106),"")</f>
        <v>213216.56</v>
      </c>
    </row>
    <row r="107" spans="2:6">
      <c r="B107" s="111">
        <f t="shared" si="1"/>
        <v>97</v>
      </c>
      <c r="C107" s="106">
        <f>IF(Term&gt;=B107,E107-D107,"")</f>
        <v>554.07999999999993</v>
      </c>
      <c r="D107" s="106">
        <f>IF(Term&gt;=B107,ROUND(F106*Rate/PYR,2),"")</f>
        <v>577.46</v>
      </c>
      <c r="E107" s="106">
        <f>IF(Term&gt;=B107,-PMT,"")</f>
        <v>1131.54</v>
      </c>
      <c r="F107" s="106">
        <f>IF(Term&gt;=B107,Loan-SUM(C$10:C107),"")</f>
        <v>212662.47999999998</v>
      </c>
    </row>
    <row r="108" spans="2:6">
      <c r="B108" s="28">
        <f t="shared" si="1"/>
        <v>98</v>
      </c>
      <c r="C108" s="109">
        <f>IF(Term&gt;=B108,E108-D108,"")</f>
        <v>555.57999999999993</v>
      </c>
      <c r="D108" s="109">
        <f>IF(Term&gt;=B108,ROUND(F107*Rate/PYR,2),"")</f>
        <v>575.96</v>
      </c>
      <c r="E108" s="109">
        <f>IF(Term&gt;=B108,-PMT,"")</f>
        <v>1131.54</v>
      </c>
      <c r="F108" s="109">
        <f>IF(Term&gt;=B108,Loan-SUM(C$10:C108),"")</f>
        <v>212106.9</v>
      </c>
    </row>
    <row r="109" spans="2:6">
      <c r="B109" s="111">
        <f t="shared" si="1"/>
        <v>99</v>
      </c>
      <c r="C109" s="106">
        <f>IF(Term&gt;=B109,E109-D109,"")</f>
        <v>557.07999999999993</v>
      </c>
      <c r="D109" s="106">
        <f>IF(Term&gt;=B109,ROUND(F108*Rate/PYR,2),"")</f>
        <v>574.46</v>
      </c>
      <c r="E109" s="106">
        <f>IF(Term&gt;=B109,-PMT,"")</f>
        <v>1131.54</v>
      </c>
      <c r="F109" s="106">
        <f>IF(Term&gt;=B109,Loan-SUM(C$10:C109),"")</f>
        <v>211549.82</v>
      </c>
    </row>
    <row r="110" spans="2:6">
      <c r="B110" s="28">
        <f t="shared" si="1"/>
        <v>100</v>
      </c>
      <c r="C110" s="109">
        <f>IF(Term&gt;=B110,E110-D110,"")</f>
        <v>558.58999999999992</v>
      </c>
      <c r="D110" s="109">
        <f>IF(Term&gt;=B110,ROUND(F109*Rate/PYR,2),"")</f>
        <v>572.95000000000005</v>
      </c>
      <c r="E110" s="109">
        <f>IF(Term&gt;=B110,-PMT,"")</f>
        <v>1131.54</v>
      </c>
      <c r="F110" s="109">
        <f>IF(Term&gt;=B110,Loan-SUM(C$10:C110),"")</f>
        <v>210991.22999999998</v>
      </c>
    </row>
    <row r="111" spans="2:6">
      <c r="B111" s="111">
        <f t="shared" si="1"/>
        <v>101</v>
      </c>
      <c r="C111" s="106">
        <f>IF(Term&gt;=B111,E111-D111,"")</f>
        <v>560.11</v>
      </c>
      <c r="D111" s="106">
        <f>IF(Term&gt;=B111,ROUND(F110*Rate/PYR,2),"")</f>
        <v>571.42999999999995</v>
      </c>
      <c r="E111" s="106">
        <f>IF(Term&gt;=B111,-PMT,"")</f>
        <v>1131.54</v>
      </c>
      <c r="F111" s="106">
        <f>IF(Term&gt;=B111,Loan-SUM(C$10:C111),"")</f>
        <v>210431.12</v>
      </c>
    </row>
    <row r="112" spans="2:6">
      <c r="B112" s="28">
        <f t="shared" si="1"/>
        <v>102</v>
      </c>
      <c r="C112" s="109">
        <f>IF(Term&gt;=B112,E112-D112,"")</f>
        <v>561.62</v>
      </c>
      <c r="D112" s="109">
        <f>IF(Term&gt;=B112,ROUND(F111*Rate/PYR,2),"")</f>
        <v>569.91999999999996</v>
      </c>
      <c r="E112" s="109">
        <f>IF(Term&gt;=B112,-PMT,"")</f>
        <v>1131.54</v>
      </c>
      <c r="F112" s="109">
        <f>IF(Term&gt;=B112,Loan-SUM(C$10:C112),"")</f>
        <v>209869.5</v>
      </c>
    </row>
    <row r="113" spans="2:6">
      <c r="B113" s="111">
        <f t="shared" si="1"/>
        <v>103</v>
      </c>
      <c r="C113" s="106">
        <f>IF(Term&gt;=B113,E113-D113,"")</f>
        <v>563.14</v>
      </c>
      <c r="D113" s="106">
        <f>IF(Term&gt;=B113,ROUND(F112*Rate/PYR,2),"")</f>
        <v>568.4</v>
      </c>
      <c r="E113" s="106">
        <f>IF(Term&gt;=B113,-PMT,"")</f>
        <v>1131.54</v>
      </c>
      <c r="F113" s="106">
        <f>IF(Term&gt;=B113,Loan-SUM(C$10:C113),"")</f>
        <v>209306.36</v>
      </c>
    </row>
    <row r="114" spans="2:6">
      <c r="B114" s="28">
        <f t="shared" si="1"/>
        <v>104</v>
      </c>
      <c r="C114" s="109">
        <f>IF(Term&gt;=B114,E114-D114,"")</f>
        <v>564.66999999999996</v>
      </c>
      <c r="D114" s="109">
        <f>IF(Term&gt;=B114,ROUND(F113*Rate/PYR,2),"")</f>
        <v>566.87</v>
      </c>
      <c r="E114" s="109">
        <f>IF(Term&gt;=B114,-PMT,"")</f>
        <v>1131.54</v>
      </c>
      <c r="F114" s="109">
        <f>IF(Term&gt;=B114,Loan-SUM(C$10:C114),"")</f>
        <v>208741.69</v>
      </c>
    </row>
    <row r="115" spans="2:6">
      <c r="B115" s="111">
        <f t="shared" si="1"/>
        <v>105</v>
      </c>
      <c r="C115" s="106">
        <f>IF(Term&gt;=B115,E115-D115,"")</f>
        <v>566.19999999999993</v>
      </c>
      <c r="D115" s="106">
        <f>IF(Term&gt;=B115,ROUND(F114*Rate/PYR,2),"")</f>
        <v>565.34</v>
      </c>
      <c r="E115" s="106">
        <f>IF(Term&gt;=B115,-PMT,"")</f>
        <v>1131.54</v>
      </c>
      <c r="F115" s="106">
        <f>IF(Term&gt;=B115,Loan-SUM(C$10:C115),"")</f>
        <v>208175.49</v>
      </c>
    </row>
    <row r="116" spans="2:6">
      <c r="B116" s="28">
        <f t="shared" si="1"/>
        <v>106</v>
      </c>
      <c r="C116" s="109">
        <f>IF(Term&gt;=B116,E116-D116,"")</f>
        <v>567.73</v>
      </c>
      <c r="D116" s="109">
        <f>IF(Term&gt;=B116,ROUND(F115*Rate/PYR,2),"")</f>
        <v>563.80999999999995</v>
      </c>
      <c r="E116" s="109">
        <f>IF(Term&gt;=B116,-PMT,"")</f>
        <v>1131.54</v>
      </c>
      <c r="F116" s="109">
        <f>IF(Term&gt;=B116,Loan-SUM(C$10:C116),"")</f>
        <v>207607.76</v>
      </c>
    </row>
    <row r="117" spans="2:6">
      <c r="B117" s="111">
        <f t="shared" si="1"/>
        <v>107</v>
      </c>
      <c r="C117" s="106">
        <f>IF(Term&gt;=B117,E117-D117,"")</f>
        <v>569.27</v>
      </c>
      <c r="D117" s="106">
        <f>IF(Term&gt;=B117,ROUND(F116*Rate/PYR,2),"")</f>
        <v>562.27</v>
      </c>
      <c r="E117" s="106">
        <f>IF(Term&gt;=B117,-PMT,"")</f>
        <v>1131.54</v>
      </c>
      <c r="F117" s="106">
        <f>IF(Term&gt;=B117,Loan-SUM(C$10:C117),"")</f>
        <v>207038.49</v>
      </c>
    </row>
    <row r="118" spans="2:6">
      <c r="B118" s="28">
        <f t="shared" si="1"/>
        <v>108</v>
      </c>
      <c r="C118" s="109">
        <f>IF(Term&gt;=B118,E118-D118,"")</f>
        <v>570.80999999999995</v>
      </c>
      <c r="D118" s="109">
        <f>IF(Term&gt;=B118,ROUND(F117*Rate/PYR,2),"")</f>
        <v>560.73</v>
      </c>
      <c r="E118" s="109">
        <f>IF(Term&gt;=B118,-PMT,"")</f>
        <v>1131.54</v>
      </c>
      <c r="F118" s="109">
        <f>IF(Term&gt;=B118,Loan-SUM(C$10:C118),"")</f>
        <v>206467.68</v>
      </c>
    </row>
    <row r="119" spans="2:6">
      <c r="B119" s="111">
        <f t="shared" si="1"/>
        <v>109</v>
      </c>
      <c r="C119" s="106">
        <f>IF(Term&gt;=B119,E119-D119,"")</f>
        <v>572.36</v>
      </c>
      <c r="D119" s="106">
        <f>IF(Term&gt;=B119,ROUND(F118*Rate/PYR,2),"")</f>
        <v>559.17999999999995</v>
      </c>
      <c r="E119" s="106">
        <f>IF(Term&gt;=B119,-PMT,"")</f>
        <v>1131.54</v>
      </c>
      <c r="F119" s="106">
        <f>IF(Term&gt;=B119,Loan-SUM(C$10:C119),"")</f>
        <v>205895.32</v>
      </c>
    </row>
    <row r="120" spans="2:6">
      <c r="B120" s="28">
        <f t="shared" si="1"/>
        <v>110</v>
      </c>
      <c r="C120" s="109">
        <f>IF(Term&gt;=B120,E120-D120,"")</f>
        <v>573.91</v>
      </c>
      <c r="D120" s="109">
        <f>IF(Term&gt;=B120,ROUND(F119*Rate/PYR,2),"")</f>
        <v>557.63</v>
      </c>
      <c r="E120" s="109">
        <f>IF(Term&gt;=B120,-PMT,"")</f>
        <v>1131.54</v>
      </c>
      <c r="F120" s="109">
        <f>IF(Term&gt;=B120,Loan-SUM(C$10:C120),"")</f>
        <v>205321.41</v>
      </c>
    </row>
    <row r="121" spans="2:6">
      <c r="B121" s="111">
        <f t="shared" si="1"/>
        <v>111</v>
      </c>
      <c r="C121" s="106">
        <f>IF(Term&gt;=B121,E121-D121,"")</f>
        <v>575.45999999999992</v>
      </c>
      <c r="D121" s="106">
        <f>IF(Term&gt;=B121,ROUND(F120*Rate/PYR,2),"")</f>
        <v>556.08000000000004</v>
      </c>
      <c r="E121" s="106">
        <f>IF(Term&gt;=B121,-PMT,"")</f>
        <v>1131.54</v>
      </c>
      <c r="F121" s="106">
        <f>IF(Term&gt;=B121,Loan-SUM(C$10:C121),"")</f>
        <v>204745.95</v>
      </c>
    </row>
    <row r="122" spans="2:6">
      <c r="B122" s="28">
        <f t="shared" si="1"/>
        <v>112</v>
      </c>
      <c r="C122" s="109">
        <f>IF(Term&gt;=B122,E122-D122,"")</f>
        <v>577.02</v>
      </c>
      <c r="D122" s="109">
        <f>IF(Term&gt;=B122,ROUND(F121*Rate/PYR,2),"")</f>
        <v>554.52</v>
      </c>
      <c r="E122" s="109">
        <f>IF(Term&gt;=B122,-PMT,"")</f>
        <v>1131.54</v>
      </c>
      <c r="F122" s="109">
        <f>IF(Term&gt;=B122,Loan-SUM(C$10:C122),"")</f>
        <v>204168.93</v>
      </c>
    </row>
    <row r="123" spans="2:6">
      <c r="B123" s="111">
        <f t="shared" si="1"/>
        <v>113</v>
      </c>
      <c r="C123" s="106">
        <f>IF(Term&gt;=B123,E123-D123,"")</f>
        <v>578.57999999999993</v>
      </c>
      <c r="D123" s="106">
        <f>IF(Term&gt;=B123,ROUND(F122*Rate/PYR,2),"")</f>
        <v>552.96</v>
      </c>
      <c r="E123" s="106">
        <f>IF(Term&gt;=B123,-PMT,"")</f>
        <v>1131.54</v>
      </c>
      <c r="F123" s="106">
        <f>IF(Term&gt;=B123,Loan-SUM(C$10:C123),"")</f>
        <v>203590.35</v>
      </c>
    </row>
    <row r="124" spans="2:6">
      <c r="B124" s="28">
        <f t="shared" si="1"/>
        <v>114</v>
      </c>
      <c r="C124" s="109">
        <f>IF(Term&gt;=B124,E124-D124,"")</f>
        <v>580.15</v>
      </c>
      <c r="D124" s="109">
        <f>IF(Term&gt;=B124,ROUND(F123*Rate/PYR,2),"")</f>
        <v>551.39</v>
      </c>
      <c r="E124" s="109">
        <f>IF(Term&gt;=B124,-PMT,"")</f>
        <v>1131.54</v>
      </c>
      <c r="F124" s="109">
        <f>IF(Term&gt;=B124,Loan-SUM(C$10:C124),"")</f>
        <v>203010.2</v>
      </c>
    </row>
    <row r="125" spans="2:6">
      <c r="B125" s="111">
        <f t="shared" si="1"/>
        <v>115</v>
      </c>
      <c r="C125" s="106">
        <f>IF(Term&gt;=B125,E125-D125,"")</f>
        <v>581.71999999999991</v>
      </c>
      <c r="D125" s="106">
        <f>IF(Term&gt;=B125,ROUND(F124*Rate/PYR,2),"")</f>
        <v>549.82000000000005</v>
      </c>
      <c r="E125" s="106">
        <f>IF(Term&gt;=B125,-PMT,"")</f>
        <v>1131.54</v>
      </c>
      <c r="F125" s="106">
        <f>IF(Term&gt;=B125,Loan-SUM(C$10:C125),"")</f>
        <v>202428.47999999998</v>
      </c>
    </row>
    <row r="126" spans="2:6">
      <c r="B126" s="28">
        <f t="shared" si="1"/>
        <v>116</v>
      </c>
      <c r="C126" s="109">
        <f>IF(Term&gt;=B126,E126-D126,"")</f>
        <v>583.29999999999995</v>
      </c>
      <c r="D126" s="109">
        <f>IF(Term&gt;=B126,ROUND(F125*Rate/PYR,2),"")</f>
        <v>548.24</v>
      </c>
      <c r="E126" s="109">
        <f>IF(Term&gt;=B126,-PMT,"")</f>
        <v>1131.54</v>
      </c>
      <c r="F126" s="109">
        <f>IF(Term&gt;=B126,Loan-SUM(C$10:C126),"")</f>
        <v>201845.18</v>
      </c>
    </row>
    <row r="127" spans="2:6">
      <c r="B127" s="111">
        <f t="shared" si="1"/>
        <v>117</v>
      </c>
      <c r="C127" s="106">
        <f>IF(Term&gt;=B127,E127-D127,"")</f>
        <v>584.88</v>
      </c>
      <c r="D127" s="106">
        <f>IF(Term&gt;=B127,ROUND(F126*Rate/PYR,2),"")</f>
        <v>546.66</v>
      </c>
      <c r="E127" s="106">
        <f>IF(Term&gt;=B127,-PMT,"")</f>
        <v>1131.54</v>
      </c>
      <c r="F127" s="106">
        <f>IF(Term&gt;=B127,Loan-SUM(C$10:C127),"")</f>
        <v>201260.3</v>
      </c>
    </row>
    <row r="128" spans="2:6">
      <c r="B128" s="28">
        <f t="shared" si="1"/>
        <v>118</v>
      </c>
      <c r="C128" s="109">
        <f>IF(Term&gt;=B128,E128-D128,"")</f>
        <v>586.45999999999992</v>
      </c>
      <c r="D128" s="109">
        <f>IF(Term&gt;=B128,ROUND(F127*Rate/PYR,2),"")</f>
        <v>545.08000000000004</v>
      </c>
      <c r="E128" s="109">
        <f>IF(Term&gt;=B128,-PMT,"")</f>
        <v>1131.54</v>
      </c>
      <c r="F128" s="109">
        <f>IF(Term&gt;=B128,Loan-SUM(C$10:C128),"")</f>
        <v>200673.84</v>
      </c>
    </row>
    <row r="129" spans="2:6">
      <c r="B129" s="111">
        <f t="shared" si="1"/>
        <v>119</v>
      </c>
      <c r="C129" s="106">
        <f>IF(Term&gt;=B129,E129-D129,"")</f>
        <v>588.04999999999995</v>
      </c>
      <c r="D129" s="106">
        <f>IF(Term&gt;=B129,ROUND(F128*Rate/PYR,2),"")</f>
        <v>543.49</v>
      </c>
      <c r="E129" s="106">
        <f>IF(Term&gt;=B129,-PMT,"")</f>
        <v>1131.54</v>
      </c>
      <c r="F129" s="106">
        <f>IF(Term&gt;=B129,Loan-SUM(C$10:C129),"")</f>
        <v>200085.78999999998</v>
      </c>
    </row>
    <row r="130" spans="2:6">
      <c r="B130" s="28">
        <f t="shared" si="1"/>
        <v>120</v>
      </c>
      <c r="C130" s="109">
        <f>IF(Term&gt;=B130,E130-D130,"")</f>
        <v>589.64</v>
      </c>
      <c r="D130" s="109">
        <f>IF(Term&gt;=B130,ROUND(F129*Rate/PYR,2),"")</f>
        <v>541.9</v>
      </c>
      <c r="E130" s="109">
        <f>IF(Term&gt;=B130,-PMT,"")</f>
        <v>1131.54</v>
      </c>
      <c r="F130" s="109">
        <f>IF(Term&gt;=B130,Loan-SUM(C$10:C130),"")</f>
        <v>199496.15</v>
      </c>
    </row>
    <row r="131" spans="2:6">
      <c r="B131" s="111">
        <f t="shared" si="1"/>
        <v>121</v>
      </c>
      <c r="C131" s="106">
        <f>IF(Term&gt;=B131,E131-D131,"")</f>
        <v>591.24</v>
      </c>
      <c r="D131" s="106">
        <f>IF(Term&gt;=B131,ROUND(F130*Rate/PYR,2),"")</f>
        <v>540.29999999999995</v>
      </c>
      <c r="E131" s="106">
        <f>IF(Term&gt;=B131,-PMT,"")</f>
        <v>1131.54</v>
      </c>
      <c r="F131" s="106">
        <f>IF(Term&gt;=B131,Loan-SUM(C$10:C131),"")</f>
        <v>198904.91</v>
      </c>
    </row>
    <row r="132" spans="2:6">
      <c r="B132" s="28">
        <f t="shared" si="1"/>
        <v>122</v>
      </c>
      <c r="C132" s="109">
        <f>IF(Term&gt;=B132,E132-D132,"")</f>
        <v>592.83999999999992</v>
      </c>
      <c r="D132" s="109">
        <f>IF(Term&gt;=B132,ROUND(F131*Rate/PYR,2),"")</f>
        <v>538.70000000000005</v>
      </c>
      <c r="E132" s="109">
        <f>IF(Term&gt;=B132,-PMT,"")</f>
        <v>1131.54</v>
      </c>
      <c r="F132" s="109">
        <f>IF(Term&gt;=B132,Loan-SUM(C$10:C132),"")</f>
        <v>198312.07</v>
      </c>
    </row>
    <row r="133" spans="2:6">
      <c r="B133" s="111">
        <f t="shared" si="1"/>
        <v>123</v>
      </c>
      <c r="C133" s="106">
        <f>IF(Term&gt;=B133,E133-D133,"")</f>
        <v>594.43999999999994</v>
      </c>
      <c r="D133" s="106">
        <f>IF(Term&gt;=B133,ROUND(F132*Rate/PYR,2),"")</f>
        <v>537.1</v>
      </c>
      <c r="E133" s="106">
        <f>IF(Term&gt;=B133,-PMT,"")</f>
        <v>1131.54</v>
      </c>
      <c r="F133" s="106">
        <f>IF(Term&gt;=B133,Loan-SUM(C$10:C133),"")</f>
        <v>197717.63</v>
      </c>
    </row>
    <row r="134" spans="2:6">
      <c r="B134" s="28">
        <f t="shared" si="1"/>
        <v>124</v>
      </c>
      <c r="C134" s="109">
        <f>IF(Term&gt;=B134,E134-D134,"")</f>
        <v>596.04999999999995</v>
      </c>
      <c r="D134" s="109">
        <f>IF(Term&gt;=B134,ROUND(F133*Rate/PYR,2),"")</f>
        <v>535.49</v>
      </c>
      <c r="E134" s="109">
        <f>IF(Term&gt;=B134,-PMT,"")</f>
        <v>1131.54</v>
      </c>
      <c r="F134" s="109">
        <f>IF(Term&gt;=B134,Loan-SUM(C$10:C134),"")</f>
        <v>197121.58</v>
      </c>
    </row>
    <row r="135" spans="2:6">
      <c r="B135" s="111">
        <f t="shared" si="1"/>
        <v>125</v>
      </c>
      <c r="C135" s="106">
        <f>IF(Term&gt;=B135,E135-D135,"")</f>
        <v>597.66999999999996</v>
      </c>
      <c r="D135" s="106">
        <f>IF(Term&gt;=B135,ROUND(F134*Rate/PYR,2),"")</f>
        <v>533.87</v>
      </c>
      <c r="E135" s="106">
        <f>IF(Term&gt;=B135,-PMT,"")</f>
        <v>1131.54</v>
      </c>
      <c r="F135" s="106">
        <f>IF(Term&gt;=B135,Loan-SUM(C$10:C135),"")</f>
        <v>196523.91</v>
      </c>
    </row>
    <row r="136" spans="2:6">
      <c r="B136" s="28">
        <f t="shared" si="1"/>
        <v>126</v>
      </c>
      <c r="C136" s="109">
        <f>IF(Term&gt;=B136,E136-D136,"")</f>
        <v>599.29</v>
      </c>
      <c r="D136" s="109">
        <f>IF(Term&gt;=B136,ROUND(F135*Rate/PYR,2),"")</f>
        <v>532.25</v>
      </c>
      <c r="E136" s="109">
        <f>IF(Term&gt;=B136,-PMT,"")</f>
        <v>1131.54</v>
      </c>
      <c r="F136" s="109">
        <f>IF(Term&gt;=B136,Loan-SUM(C$10:C136),"")</f>
        <v>195924.62</v>
      </c>
    </row>
    <row r="137" spans="2:6">
      <c r="B137" s="111">
        <f t="shared" si="1"/>
        <v>127</v>
      </c>
      <c r="C137" s="106">
        <f>IF(Term&gt;=B137,E137-D137,"")</f>
        <v>600.91</v>
      </c>
      <c r="D137" s="106">
        <f>IF(Term&gt;=B137,ROUND(F136*Rate/PYR,2),"")</f>
        <v>530.63</v>
      </c>
      <c r="E137" s="106">
        <f>IF(Term&gt;=B137,-PMT,"")</f>
        <v>1131.54</v>
      </c>
      <c r="F137" s="106">
        <f>IF(Term&gt;=B137,Loan-SUM(C$10:C137),"")</f>
        <v>195323.71</v>
      </c>
    </row>
    <row r="138" spans="2:6">
      <c r="B138" s="28">
        <f t="shared" si="1"/>
        <v>128</v>
      </c>
      <c r="C138" s="109">
        <f>IF(Term&gt;=B138,E138-D138,"")</f>
        <v>602.54</v>
      </c>
      <c r="D138" s="109">
        <f>IF(Term&gt;=B138,ROUND(F137*Rate/PYR,2),"")</f>
        <v>529</v>
      </c>
      <c r="E138" s="109">
        <f>IF(Term&gt;=B138,-PMT,"")</f>
        <v>1131.54</v>
      </c>
      <c r="F138" s="109">
        <f>IF(Term&gt;=B138,Loan-SUM(C$10:C138),"")</f>
        <v>194721.16999999998</v>
      </c>
    </row>
    <row r="139" spans="2:6">
      <c r="B139" s="111">
        <f t="shared" si="1"/>
        <v>129</v>
      </c>
      <c r="C139" s="106">
        <f>IF(Term&gt;=B139,E139-D139,"")</f>
        <v>604.16999999999996</v>
      </c>
      <c r="D139" s="106">
        <f>IF(Term&gt;=B139,ROUND(F138*Rate/PYR,2),"")</f>
        <v>527.37</v>
      </c>
      <c r="E139" s="106">
        <f>IF(Term&gt;=B139,-PMT,"")</f>
        <v>1131.54</v>
      </c>
      <c r="F139" s="106">
        <f>IF(Term&gt;=B139,Loan-SUM(C$10:C139),"")</f>
        <v>194117</v>
      </c>
    </row>
    <row r="140" spans="2:6">
      <c r="B140" s="28">
        <f t="shared" si="1"/>
        <v>130</v>
      </c>
      <c r="C140" s="109">
        <f>IF(Term&gt;=B140,E140-D140,"")</f>
        <v>605.80999999999995</v>
      </c>
      <c r="D140" s="109">
        <f>IF(Term&gt;=B140,ROUND(F139*Rate/PYR,2),"")</f>
        <v>525.73</v>
      </c>
      <c r="E140" s="109">
        <f>IF(Term&gt;=B140,-PMT,"")</f>
        <v>1131.54</v>
      </c>
      <c r="F140" s="109">
        <f>IF(Term&gt;=B140,Loan-SUM(C$10:C140),"")</f>
        <v>193511.19</v>
      </c>
    </row>
    <row r="141" spans="2:6">
      <c r="B141" s="111">
        <f t="shared" ref="B141:B204" si="2">B140+1</f>
        <v>131</v>
      </c>
      <c r="C141" s="106">
        <f>IF(Term&gt;=B141,E141-D141,"")</f>
        <v>607.44999999999993</v>
      </c>
      <c r="D141" s="106">
        <f>IF(Term&gt;=B141,ROUND(F140*Rate/PYR,2),"")</f>
        <v>524.09</v>
      </c>
      <c r="E141" s="106">
        <f>IF(Term&gt;=B141,-PMT,"")</f>
        <v>1131.54</v>
      </c>
      <c r="F141" s="106">
        <f>IF(Term&gt;=B141,Loan-SUM(C$10:C141),"")</f>
        <v>192903.74</v>
      </c>
    </row>
    <row r="142" spans="2:6">
      <c r="B142" s="28">
        <f t="shared" si="2"/>
        <v>132</v>
      </c>
      <c r="C142" s="109">
        <f>IF(Term&gt;=B142,E142-D142,"")</f>
        <v>609.08999999999992</v>
      </c>
      <c r="D142" s="109">
        <f>IF(Term&gt;=B142,ROUND(F141*Rate/PYR,2),"")</f>
        <v>522.45000000000005</v>
      </c>
      <c r="E142" s="109">
        <f>IF(Term&gt;=B142,-PMT,"")</f>
        <v>1131.54</v>
      </c>
      <c r="F142" s="109">
        <f>IF(Term&gt;=B142,Loan-SUM(C$10:C142),"")</f>
        <v>192294.65</v>
      </c>
    </row>
    <row r="143" spans="2:6">
      <c r="B143" s="111">
        <f t="shared" si="2"/>
        <v>133</v>
      </c>
      <c r="C143" s="106">
        <f>IF(Term&gt;=B143,E143-D143,"")</f>
        <v>610.74</v>
      </c>
      <c r="D143" s="106">
        <f>IF(Term&gt;=B143,ROUND(F142*Rate/PYR,2),"")</f>
        <v>520.79999999999995</v>
      </c>
      <c r="E143" s="106">
        <f>IF(Term&gt;=B143,-PMT,"")</f>
        <v>1131.54</v>
      </c>
      <c r="F143" s="106">
        <f>IF(Term&gt;=B143,Loan-SUM(C$10:C143),"")</f>
        <v>191683.90999999997</v>
      </c>
    </row>
    <row r="144" spans="2:6">
      <c r="B144" s="28">
        <f t="shared" si="2"/>
        <v>134</v>
      </c>
      <c r="C144" s="109">
        <f>IF(Term&gt;=B144,E144-D144,"")</f>
        <v>612.4</v>
      </c>
      <c r="D144" s="109">
        <f>IF(Term&gt;=B144,ROUND(F143*Rate/PYR,2),"")</f>
        <v>519.14</v>
      </c>
      <c r="E144" s="109">
        <f>IF(Term&gt;=B144,-PMT,"")</f>
        <v>1131.54</v>
      </c>
      <c r="F144" s="109">
        <f>IF(Term&gt;=B144,Loan-SUM(C$10:C144),"")</f>
        <v>191071.51</v>
      </c>
    </row>
    <row r="145" spans="2:6">
      <c r="B145" s="111">
        <f t="shared" si="2"/>
        <v>135</v>
      </c>
      <c r="C145" s="106">
        <f>IF(Term&gt;=B145,E145-D145,"")</f>
        <v>614.04999999999995</v>
      </c>
      <c r="D145" s="106">
        <f>IF(Term&gt;=B145,ROUND(F144*Rate/PYR,2),"")</f>
        <v>517.49</v>
      </c>
      <c r="E145" s="106">
        <f>IF(Term&gt;=B145,-PMT,"")</f>
        <v>1131.54</v>
      </c>
      <c r="F145" s="106">
        <f>IF(Term&gt;=B145,Loan-SUM(C$10:C145),"")</f>
        <v>190457.46</v>
      </c>
    </row>
    <row r="146" spans="2:6">
      <c r="B146" s="28">
        <f t="shared" si="2"/>
        <v>136</v>
      </c>
      <c r="C146" s="109">
        <f>IF(Term&gt;=B146,E146-D146,"")</f>
        <v>615.71999999999991</v>
      </c>
      <c r="D146" s="109">
        <f>IF(Term&gt;=B146,ROUND(F145*Rate/PYR,2),"")</f>
        <v>515.82000000000005</v>
      </c>
      <c r="E146" s="109">
        <f>IF(Term&gt;=B146,-PMT,"")</f>
        <v>1131.54</v>
      </c>
      <c r="F146" s="109">
        <f>IF(Term&gt;=B146,Loan-SUM(C$10:C146),"")</f>
        <v>189841.74</v>
      </c>
    </row>
    <row r="147" spans="2:6">
      <c r="B147" s="111">
        <f t="shared" si="2"/>
        <v>137</v>
      </c>
      <c r="C147" s="106">
        <f>IF(Term&gt;=B147,E147-D147,"")</f>
        <v>617.39</v>
      </c>
      <c r="D147" s="106">
        <f>IF(Term&gt;=B147,ROUND(F146*Rate/PYR,2),"")</f>
        <v>514.15</v>
      </c>
      <c r="E147" s="106">
        <f>IF(Term&gt;=B147,-PMT,"")</f>
        <v>1131.54</v>
      </c>
      <c r="F147" s="106">
        <f>IF(Term&gt;=B147,Loan-SUM(C$10:C147),"")</f>
        <v>189224.34999999998</v>
      </c>
    </row>
    <row r="148" spans="2:6">
      <c r="B148" s="28">
        <f t="shared" si="2"/>
        <v>138</v>
      </c>
      <c r="C148" s="109">
        <f>IF(Term&gt;=B148,E148-D148,"")</f>
        <v>619.05999999999995</v>
      </c>
      <c r="D148" s="109">
        <f>IF(Term&gt;=B148,ROUND(F147*Rate/PYR,2),"")</f>
        <v>512.48</v>
      </c>
      <c r="E148" s="109">
        <f>IF(Term&gt;=B148,-PMT,"")</f>
        <v>1131.54</v>
      </c>
      <c r="F148" s="109">
        <f>IF(Term&gt;=B148,Loan-SUM(C$10:C148),"")</f>
        <v>188605.28999999998</v>
      </c>
    </row>
    <row r="149" spans="2:6">
      <c r="B149" s="111">
        <f t="shared" si="2"/>
        <v>139</v>
      </c>
      <c r="C149" s="106">
        <f>IF(Term&gt;=B149,E149-D149,"")</f>
        <v>620.73</v>
      </c>
      <c r="D149" s="106">
        <f>IF(Term&gt;=B149,ROUND(F148*Rate/PYR,2),"")</f>
        <v>510.81</v>
      </c>
      <c r="E149" s="106">
        <f>IF(Term&gt;=B149,-PMT,"")</f>
        <v>1131.54</v>
      </c>
      <c r="F149" s="106">
        <f>IF(Term&gt;=B149,Loan-SUM(C$10:C149),"")</f>
        <v>187984.56</v>
      </c>
    </row>
    <row r="150" spans="2:6">
      <c r="B150" s="28">
        <f t="shared" si="2"/>
        <v>140</v>
      </c>
      <c r="C150" s="109">
        <f>IF(Term&gt;=B150,E150-D150,"")</f>
        <v>622.41999999999996</v>
      </c>
      <c r="D150" s="109">
        <f>IF(Term&gt;=B150,ROUND(F149*Rate/PYR,2),"")</f>
        <v>509.12</v>
      </c>
      <c r="E150" s="109">
        <f>IF(Term&gt;=B150,-PMT,"")</f>
        <v>1131.54</v>
      </c>
      <c r="F150" s="109">
        <f>IF(Term&gt;=B150,Loan-SUM(C$10:C150),"")</f>
        <v>187362.14</v>
      </c>
    </row>
    <row r="151" spans="2:6">
      <c r="B151" s="111">
        <f t="shared" si="2"/>
        <v>141</v>
      </c>
      <c r="C151" s="106">
        <f>IF(Term&gt;=B151,E151-D151,"")</f>
        <v>624.09999999999991</v>
      </c>
      <c r="D151" s="106">
        <f>IF(Term&gt;=B151,ROUND(F150*Rate/PYR,2),"")</f>
        <v>507.44</v>
      </c>
      <c r="E151" s="106">
        <f>IF(Term&gt;=B151,-PMT,"")</f>
        <v>1131.54</v>
      </c>
      <c r="F151" s="106">
        <f>IF(Term&gt;=B151,Loan-SUM(C$10:C151),"")</f>
        <v>186738.03999999998</v>
      </c>
    </row>
    <row r="152" spans="2:6">
      <c r="B152" s="28">
        <f t="shared" si="2"/>
        <v>142</v>
      </c>
      <c r="C152" s="109">
        <f>IF(Term&gt;=B152,E152-D152,"")</f>
        <v>625.79</v>
      </c>
      <c r="D152" s="109">
        <f>IF(Term&gt;=B152,ROUND(F151*Rate/PYR,2),"")</f>
        <v>505.75</v>
      </c>
      <c r="E152" s="109">
        <f>IF(Term&gt;=B152,-PMT,"")</f>
        <v>1131.54</v>
      </c>
      <c r="F152" s="109">
        <f>IF(Term&gt;=B152,Loan-SUM(C$10:C152),"")</f>
        <v>186112.25</v>
      </c>
    </row>
    <row r="153" spans="2:6">
      <c r="B153" s="111">
        <f t="shared" si="2"/>
        <v>143</v>
      </c>
      <c r="C153" s="106">
        <f>IF(Term&gt;=B153,E153-D153,"")</f>
        <v>627.49</v>
      </c>
      <c r="D153" s="106">
        <f>IF(Term&gt;=B153,ROUND(F152*Rate/PYR,2),"")</f>
        <v>504.05</v>
      </c>
      <c r="E153" s="106">
        <f>IF(Term&gt;=B153,-PMT,"")</f>
        <v>1131.54</v>
      </c>
      <c r="F153" s="106">
        <f>IF(Term&gt;=B153,Loan-SUM(C$10:C153),"")</f>
        <v>185484.76</v>
      </c>
    </row>
    <row r="154" spans="2:6">
      <c r="B154" s="28">
        <f t="shared" si="2"/>
        <v>144</v>
      </c>
      <c r="C154" s="109">
        <f>IF(Term&gt;=B154,E154-D154,"")</f>
        <v>629.18999999999994</v>
      </c>
      <c r="D154" s="109">
        <f>IF(Term&gt;=B154,ROUND(F153*Rate/PYR,2),"")</f>
        <v>502.35</v>
      </c>
      <c r="E154" s="109">
        <f>IF(Term&gt;=B154,-PMT,"")</f>
        <v>1131.54</v>
      </c>
      <c r="F154" s="109">
        <f>IF(Term&gt;=B154,Loan-SUM(C$10:C154),"")</f>
        <v>184855.57</v>
      </c>
    </row>
    <row r="155" spans="2:6">
      <c r="B155" s="111">
        <f t="shared" si="2"/>
        <v>145</v>
      </c>
      <c r="C155" s="106">
        <f>IF(Term&gt;=B155,E155-D155,"")</f>
        <v>630.89</v>
      </c>
      <c r="D155" s="106">
        <f>IF(Term&gt;=B155,ROUND(F154*Rate/PYR,2),"")</f>
        <v>500.65</v>
      </c>
      <c r="E155" s="106">
        <f>IF(Term&gt;=B155,-PMT,"")</f>
        <v>1131.54</v>
      </c>
      <c r="F155" s="106">
        <f>IF(Term&gt;=B155,Loan-SUM(C$10:C155),"")</f>
        <v>184224.68</v>
      </c>
    </row>
    <row r="156" spans="2:6">
      <c r="B156" s="28">
        <f t="shared" si="2"/>
        <v>146</v>
      </c>
      <c r="C156" s="109">
        <f>IF(Term&gt;=B156,E156-D156,"")</f>
        <v>632.59999999999991</v>
      </c>
      <c r="D156" s="109">
        <f>IF(Term&gt;=B156,ROUND(F155*Rate/PYR,2),"")</f>
        <v>498.94</v>
      </c>
      <c r="E156" s="109">
        <f>IF(Term&gt;=B156,-PMT,"")</f>
        <v>1131.54</v>
      </c>
      <c r="F156" s="109">
        <f>IF(Term&gt;=B156,Loan-SUM(C$10:C156),"")</f>
        <v>183592.08</v>
      </c>
    </row>
    <row r="157" spans="2:6">
      <c r="B157" s="111">
        <f t="shared" si="2"/>
        <v>147</v>
      </c>
      <c r="C157" s="106">
        <f>IF(Term&gt;=B157,E157-D157,"")</f>
        <v>634.30999999999995</v>
      </c>
      <c r="D157" s="106">
        <f>IF(Term&gt;=B157,ROUND(F156*Rate/PYR,2),"")</f>
        <v>497.23</v>
      </c>
      <c r="E157" s="106">
        <f>IF(Term&gt;=B157,-PMT,"")</f>
        <v>1131.54</v>
      </c>
      <c r="F157" s="106">
        <f>IF(Term&gt;=B157,Loan-SUM(C$10:C157),"")</f>
        <v>182957.77</v>
      </c>
    </row>
    <row r="158" spans="2:6">
      <c r="B158" s="28">
        <f t="shared" si="2"/>
        <v>148</v>
      </c>
      <c r="C158" s="109">
        <f>IF(Term&gt;=B158,E158-D158,"")</f>
        <v>636.03</v>
      </c>
      <c r="D158" s="109">
        <f>IF(Term&gt;=B158,ROUND(F157*Rate/PYR,2),"")</f>
        <v>495.51</v>
      </c>
      <c r="E158" s="109">
        <f>IF(Term&gt;=B158,-PMT,"")</f>
        <v>1131.54</v>
      </c>
      <c r="F158" s="109">
        <f>IF(Term&gt;=B158,Loan-SUM(C$10:C158),"")</f>
        <v>182321.74</v>
      </c>
    </row>
    <row r="159" spans="2:6">
      <c r="B159" s="111">
        <f t="shared" si="2"/>
        <v>149</v>
      </c>
      <c r="C159" s="106">
        <f>IF(Term&gt;=B159,E159-D159,"")</f>
        <v>637.75</v>
      </c>
      <c r="D159" s="106">
        <f>IF(Term&gt;=B159,ROUND(F158*Rate/PYR,2),"")</f>
        <v>493.79</v>
      </c>
      <c r="E159" s="106">
        <f>IF(Term&gt;=B159,-PMT,"")</f>
        <v>1131.54</v>
      </c>
      <c r="F159" s="106">
        <f>IF(Term&gt;=B159,Loan-SUM(C$10:C159),"")</f>
        <v>181683.99</v>
      </c>
    </row>
    <row r="160" spans="2:6">
      <c r="B160" s="28">
        <f t="shared" si="2"/>
        <v>150</v>
      </c>
      <c r="C160" s="109">
        <f>IF(Term&gt;=B160,E160-D160,"")</f>
        <v>639.48</v>
      </c>
      <c r="D160" s="109">
        <f>IF(Term&gt;=B160,ROUND(F159*Rate/PYR,2),"")</f>
        <v>492.06</v>
      </c>
      <c r="E160" s="109">
        <f>IF(Term&gt;=B160,-PMT,"")</f>
        <v>1131.54</v>
      </c>
      <c r="F160" s="109">
        <f>IF(Term&gt;=B160,Loan-SUM(C$10:C160),"")</f>
        <v>181044.51</v>
      </c>
    </row>
    <row r="161" spans="2:6">
      <c r="B161" s="111">
        <f t="shared" si="2"/>
        <v>151</v>
      </c>
      <c r="C161" s="106">
        <f>IF(Term&gt;=B161,E161-D161,"")</f>
        <v>641.21</v>
      </c>
      <c r="D161" s="106">
        <f>IF(Term&gt;=B161,ROUND(F160*Rate/PYR,2),"")</f>
        <v>490.33</v>
      </c>
      <c r="E161" s="106">
        <f>IF(Term&gt;=B161,-PMT,"")</f>
        <v>1131.54</v>
      </c>
      <c r="F161" s="106">
        <f>IF(Term&gt;=B161,Loan-SUM(C$10:C161),"")</f>
        <v>180403.3</v>
      </c>
    </row>
    <row r="162" spans="2:6">
      <c r="B162" s="28">
        <f t="shared" si="2"/>
        <v>152</v>
      </c>
      <c r="C162" s="109">
        <f>IF(Term&gt;=B162,E162-D162,"")</f>
        <v>642.95000000000005</v>
      </c>
      <c r="D162" s="109">
        <f>IF(Term&gt;=B162,ROUND(F161*Rate/PYR,2),"")</f>
        <v>488.59</v>
      </c>
      <c r="E162" s="109">
        <f>IF(Term&gt;=B162,-PMT,"")</f>
        <v>1131.54</v>
      </c>
      <c r="F162" s="109">
        <f>IF(Term&gt;=B162,Loan-SUM(C$10:C162),"")</f>
        <v>179760.34999999998</v>
      </c>
    </row>
    <row r="163" spans="2:6">
      <c r="B163" s="111">
        <f t="shared" si="2"/>
        <v>153</v>
      </c>
      <c r="C163" s="106">
        <f>IF(Term&gt;=B163,E163-D163,"")</f>
        <v>644.68999999999994</v>
      </c>
      <c r="D163" s="106">
        <f>IF(Term&gt;=B163,ROUND(F162*Rate/PYR,2),"")</f>
        <v>486.85</v>
      </c>
      <c r="E163" s="106">
        <f>IF(Term&gt;=B163,-PMT,"")</f>
        <v>1131.54</v>
      </c>
      <c r="F163" s="106">
        <f>IF(Term&gt;=B163,Loan-SUM(C$10:C163),"")</f>
        <v>179115.65999999997</v>
      </c>
    </row>
    <row r="164" spans="2:6">
      <c r="B164" s="28">
        <f t="shared" si="2"/>
        <v>154</v>
      </c>
      <c r="C164" s="109">
        <f>IF(Term&gt;=B164,E164-D164,"")</f>
        <v>646.43999999999994</v>
      </c>
      <c r="D164" s="109">
        <f>IF(Term&gt;=B164,ROUND(F163*Rate/PYR,2),"")</f>
        <v>485.1</v>
      </c>
      <c r="E164" s="109">
        <f>IF(Term&gt;=B164,-PMT,"")</f>
        <v>1131.54</v>
      </c>
      <c r="F164" s="109">
        <f>IF(Term&gt;=B164,Loan-SUM(C$10:C164),"")</f>
        <v>178469.21999999997</v>
      </c>
    </row>
    <row r="165" spans="2:6">
      <c r="B165" s="111">
        <f t="shared" si="2"/>
        <v>155</v>
      </c>
      <c r="C165" s="106">
        <f>IF(Term&gt;=B165,E165-D165,"")</f>
        <v>648.18999999999994</v>
      </c>
      <c r="D165" s="106">
        <f>IF(Term&gt;=B165,ROUND(F164*Rate/PYR,2),"")</f>
        <v>483.35</v>
      </c>
      <c r="E165" s="106">
        <f>IF(Term&gt;=B165,-PMT,"")</f>
        <v>1131.54</v>
      </c>
      <c r="F165" s="106">
        <f>IF(Term&gt;=B165,Loan-SUM(C$10:C165),"")</f>
        <v>177821.02999999997</v>
      </c>
    </row>
    <row r="166" spans="2:6">
      <c r="B166" s="28">
        <f t="shared" si="2"/>
        <v>156</v>
      </c>
      <c r="C166" s="109">
        <f>IF(Term&gt;=B166,E166-D166,"")</f>
        <v>649.93999999999994</v>
      </c>
      <c r="D166" s="109">
        <f>IF(Term&gt;=B166,ROUND(F165*Rate/PYR,2),"")</f>
        <v>481.6</v>
      </c>
      <c r="E166" s="109">
        <f>IF(Term&gt;=B166,-PMT,"")</f>
        <v>1131.54</v>
      </c>
      <c r="F166" s="109">
        <f>IF(Term&gt;=B166,Loan-SUM(C$10:C166),"")</f>
        <v>177171.08999999997</v>
      </c>
    </row>
    <row r="167" spans="2:6">
      <c r="B167" s="111">
        <f t="shared" si="2"/>
        <v>157</v>
      </c>
      <c r="C167" s="106">
        <f>IF(Term&gt;=B167,E167-D167,"")</f>
        <v>651.70000000000005</v>
      </c>
      <c r="D167" s="106">
        <f>IF(Term&gt;=B167,ROUND(F166*Rate/PYR,2),"")</f>
        <v>479.84</v>
      </c>
      <c r="E167" s="106">
        <f>IF(Term&gt;=B167,-PMT,"")</f>
        <v>1131.54</v>
      </c>
      <c r="F167" s="106">
        <f>IF(Term&gt;=B167,Loan-SUM(C$10:C167),"")</f>
        <v>176519.38999999998</v>
      </c>
    </row>
    <row r="168" spans="2:6">
      <c r="B168" s="28">
        <f t="shared" si="2"/>
        <v>158</v>
      </c>
      <c r="C168" s="109">
        <f>IF(Term&gt;=B168,E168-D168,"")</f>
        <v>653.47</v>
      </c>
      <c r="D168" s="109">
        <f>IF(Term&gt;=B168,ROUND(F167*Rate/PYR,2),"")</f>
        <v>478.07</v>
      </c>
      <c r="E168" s="109">
        <f>IF(Term&gt;=B168,-PMT,"")</f>
        <v>1131.54</v>
      </c>
      <c r="F168" s="109">
        <f>IF(Term&gt;=B168,Loan-SUM(C$10:C168),"")</f>
        <v>175865.91999999998</v>
      </c>
    </row>
    <row r="169" spans="2:6">
      <c r="B169" s="111">
        <f t="shared" si="2"/>
        <v>159</v>
      </c>
      <c r="C169" s="106">
        <f>IF(Term&gt;=B169,E169-D169,"")</f>
        <v>655.24</v>
      </c>
      <c r="D169" s="106">
        <f>IF(Term&gt;=B169,ROUND(F168*Rate/PYR,2),"")</f>
        <v>476.3</v>
      </c>
      <c r="E169" s="106">
        <f>IF(Term&gt;=B169,-PMT,"")</f>
        <v>1131.54</v>
      </c>
      <c r="F169" s="106">
        <f>IF(Term&gt;=B169,Loan-SUM(C$10:C169),"")</f>
        <v>175210.68</v>
      </c>
    </row>
    <row r="170" spans="2:6">
      <c r="B170" s="28">
        <f t="shared" si="2"/>
        <v>160</v>
      </c>
      <c r="C170" s="109">
        <f>IF(Term&gt;=B170,E170-D170,"")</f>
        <v>657.01</v>
      </c>
      <c r="D170" s="109">
        <f>IF(Term&gt;=B170,ROUND(F169*Rate/PYR,2),"")</f>
        <v>474.53</v>
      </c>
      <c r="E170" s="109">
        <f>IF(Term&gt;=B170,-PMT,"")</f>
        <v>1131.54</v>
      </c>
      <c r="F170" s="109">
        <f>IF(Term&gt;=B170,Loan-SUM(C$10:C170),"")</f>
        <v>174553.66999999998</v>
      </c>
    </row>
    <row r="171" spans="2:6">
      <c r="B171" s="111">
        <f t="shared" si="2"/>
        <v>161</v>
      </c>
      <c r="C171" s="106">
        <f>IF(Term&gt;=B171,E171-D171,"")</f>
        <v>658.79</v>
      </c>
      <c r="D171" s="106">
        <f>IF(Term&gt;=B171,ROUND(F170*Rate/PYR,2),"")</f>
        <v>472.75</v>
      </c>
      <c r="E171" s="106">
        <f>IF(Term&gt;=B171,-PMT,"")</f>
        <v>1131.54</v>
      </c>
      <c r="F171" s="106">
        <f>IF(Term&gt;=B171,Loan-SUM(C$10:C171),"")</f>
        <v>173894.88</v>
      </c>
    </row>
    <row r="172" spans="2:6">
      <c r="B172" s="28">
        <f t="shared" si="2"/>
        <v>162</v>
      </c>
      <c r="C172" s="109">
        <f>IF(Term&gt;=B172,E172-D172,"")</f>
        <v>660.56999999999994</v>
      </c>
      <c r="D172" s="109">
        <f>IF(Term&gt;=B172,ROUND(F171*Rate/PYR,2),"")</f>
        <v>470.97</v>
      </c>
      <c r="E172" s="109">
        <f>IF(Term&gt;=B172,-PMT,"")</f>
        <v>1131.54</v>
      </c>
      <c r="F172" s="109">
        <f>IF(Term&gt;=B172,Loan-SUM(C$10:C172),"")</f>
        <v>173234.31</v>
      </c>
    </row>
    <row r="173" spans="2:6">
      <c r="B173" s="111">
        <f t="shared" si="2"/>
        <v>163</v>
      </c>
      <c r="C173" s="106">
        <f>IF(Term&gt;=B173,E173-D173,"")</f>
        <v>662.3599999999999</v>
      </c>
      <c r="D173" s="106">
        <f>IF(Term&gt;=B173,ROUND(F172*Rate/PYR,2),"")</f>
        <v>469.18</v>
      </c>
      <c r="E173" s="106">
        <f>IF(Term&gt;=B173,-PMT,"")</f>
        <v>1131.54</v>
      </c>
      <c r="F173" s="106">
        <f>IF(Term&gt;=B173,Loan-SUM(C$10:C173),"")</f>
        <v>172571.94999999998</v>
      </c>
    </row>
    <row r="174" spans="2:6">
      <c r="B174" s="28">
        <f t="shared" si="2"/>
        <v>164</v>
      </c>
      <c r="C174" s="109">
        <f>IF(Term&gt;=B174,E174-D174,"")</f>
        <v>664.16</v>
      </c>
      <c r="D174" s="109">
        <f>IF(Term&gt;=B174,ROUND(F173*Rate/PYR,2),"")</f>
        <v>467.38</v>
      </c>
      <c r="E174" s="109">
        <f>IF(Term&gt;=B174,-PMT,"")</f>
        <v>1131.54</v>
      </c>
      <c r="F174" s="109">
        <f>IF(Term&gt;=B174,Loan-SUM(C$10:C174),"")</f>
        <v>171907.78999999998</v>
      </c>
    </row>
    <row r="175" spans="2:6">
      <c r="B175" s="111">
        <f t="shared" si="2"/>
        <v>165</v>
      </c>
      <c r="C175" s="106">
        <f>IF(Term&gt;=B175,E175-D175,"")</f>
        <v>665.96</v>
      </c>
      <c r="D175" s="106">
        <f>IF(Term&gt;=B175,ROUND(F174*Rate/PYR,2),"")</f>
        <v>465.58</v>
      </c>
      <c r="E175" s="106">
        <f>IF(Term&gt;=B175,-PMT,"")</f>
        <v>1131.54</v>
      </c>
      <c r="F175" s="106">
        <f>IF(Term&gt;=B175,Loan-SUM(C$10:C175),"")</f>
        <v>171241.82999999996</v>
      </c>
    </row>
    <row r="176" spans="2:6">
      <c r="B176" s="28">
        <f t="shared" si="2"/>
        <v>166</v>
      </c>
      <c r="C176" s="109">
        <f>IF(Term&gt;=B176,E176-D176,"")</f>
        <v>667.76</v>
      </c>
      <c r="D176" s="109">
        <f>IF(Term&gt;=B176,ROUND(F175*Rate/PYR,2),"")</f>
        <v>463.78</v>
      </c>
      <c r="E176" s="109">
        <f>IF(Term&gt;=B176,-PMT,"")</f>
        <v>1131.54</v>
      </c>
      <c r="F176" s="109">
        <f>IF(Term&gt;=B176,Loan-SUM(C$10:C176),"")</f>
        <v>170574.06999999998</v>
      </c>
    </row>
    <row r="177" spans="2:6">
      <c r="B177" s="111">
        <f t="shared" si="2"/>
        <v>167</v>
      </c>
      <c r="C177" s="106">
        <f>IF(Term&gt;=B177,E177-D177,"")</f>
        <v>669.56999999999994</v>
      </c>
      <c r="D177" s="106">
        <f>IF(Term&gt;=B177,ROUND(F176*Rate/PYR,2),"")</f>
        <v>461.97</v>
      </c>
      <c r="E177" s="106">
        <f>IF(Term&gt;=B177,-PMT,"")</f>
        <v>1131.54</v>
      </c>
      <c r="F177" s="106">
        <f>IF(Term&gt;=B177,Loan-SUM(C$10:C177),"")</f>
        <v>169904.49999999997</v>
      </c>
    </row>
    <row r="178" spans="2:6">
      <c r="B178" s="28">
        <f t="shared" si="2"/>
        <v>168</v>
      </c>
      <c r="C178" s="109">
        <f>IF(Term&gt;=B178,E178-D178,"")</f>
        <v>671.37999999999988</v>
      </c>
      <c r="D178" s="109">
        <f>IF(Term&gt;=B178,ROUND(F177*Rate/PYR,2),"")</f>
        <v>460.16</v>
      </c>
      <c r="E178" s="109">
        <f>IF(Term&gt;=B178,-PMT,"")</f>
        <v>1131.54</v>
      </c>
      <c r="F178" s="109">
        <f>IF(Term&gt;=B178,Loan-SUM(C$10:C178),"")</f>
        <v>169233.11999999997</v>
      </c>
    </row>
    <row r="179" spans="2:6">
      <c r="B179" s="111">
        <f t="shared" si="2"/>
        <v>169</v>
      </c>
      <c r="C179" s="106">
        <f>IF(Term&gt;=B179,E179-D179,"")</f>
        <v>673.2</v>
      </c>
      <c r="D179" s="106">
        <f>IF(Term&gt;=B179,ROUND(F178*Rate/PYR,2),"")</f>
        <v>458.34</v>
      </c>
      <c r="E179" s="106">
        <f>IF(Term&gt;=B179,-PMT,"")</f>
        <v>1131.54</v>
      </c>
      <c r="F179" s="106">
        <f>IF(Term&gt;=B179,Loan-SUM(C$10:C179),"")</f>
        <v>168559.91999999998</v>
      </c>
    </row>
    <row r="180" spans="2:6">
      <c r="B180" s="28">
        <f t="shared" si="2"/>
        <v>170</v>
      </c>
      <c r="C180" s="109">
        <f>IF(Term&gt;=B180,E180-D180,"")</f>
        <v>675.02</v>
      </c>
      <c r="D180" s="109">
        <f>IF(Term&gt;=B180,ROUND(F179*Rate/PYR,2),"")</f>
        <v>456.52</v>
      </c>
      <c r="E180" s="109">
        <f>IF(Term&gt;=B180,-PMT,"")</f>
        <v>1131.54</v>
      </c>
      <c r="F180" s="109">
        <f>IF(Term&gt;=B180,Loan-SUM(C$10:C180),"")</f>
        <v>167884.89999999997</v>
      </c>
    </row>
    <row r="181" spans="2:6">
      <c r="B181" s="111">
        <f t="shared" si="2"/>
        <v>171</v>
      </c>
      <c r="C181" s="106">
        <f>IF(Term&gt;=B181,E181-D181,"")</f>
        <v>676.84999999999991</v>
      </c>
      <c r="D181" s="106">
        <f>IF(Term&gt;=B181,ROUND(F180*Rate/PYR,2),"")</f>
        <v>454.69</v>
      </c>
      <c r="E181" s="106">
        <f>IF(Term&gt;=B181,-PMT,"")</f>
        <v>1131.54</v>
      </c>
      <c r="F181" s="106">
        <f>IF(Term&gt;=B181,Loan-SUM(C$10:C181),"")</f>
        <v>167208.04999999996</v>
      </c>
    </row>
    <row r="182" spans="2:6">
      <c r="B182" s="28">
        <f t="shared" si="2"/>
        <v>172</v>
      </c>
      <c r="C182" s="109">
        <f>IF(Term&gt;=B182,E182-D182,"")</f>
        <v>678.68</v>
      </c>
      <c r="D182" s="109">
        <f>IF(Term&gt;=B182,ROUND(F181*Rate/PYR,2),"")</f>
        <v>452.86</v>
      </c>
      <c r="E182" s="109">
        <f>IF(Term&gt;=B182,-PMT,"")</f>
        <v>1131.54</v>
      </c>
      <c r="F182" s="109">
        <f>IF(Term&gt;=B182,Loan-SUM(C$10:C182),"")</f>
        <v>166529.36999999997</v>
      </c>
    </row>
    <row r="183" spans="2:6">
      <c r="B183" s="111">
        <f t="shared" si="2"/>
        <v>173</v>
      </c>
      <c r="C183" s="106">
        <f>IF(Term&gt;=B183,E183-D183,"")</f>
        <v>680.52</v>
      </c>
      <c r="D183" s="106">
        <f>IF(Term&gt;=B183,ROUND(F182*Rate/PYR,2),"")</f>
        <v>451.02</v>
      </c>
      <c r="E183" s="106">
        <f>IF(Term&gt;=B183,-PMT,"")</f>
        <v>1131.54</v>
      </c>
      <c r="F183" s="106">
        <f>IF(Term&gt;=B183,Loan-SUM(C$10:C183),"")</f>
        <v>165848.84999999998</v>
      </c>
    </row>
    <row r="184" spans="2:6">
      <c r="B184" s="28">
        <f t="shared" si="2"/>
        <v>174</v>
      </c>
      <c r="C184" s="109">
        <f>IF(Term&gt;=B184,E184-D184,"")</f>
        <v>682.36999999999989</v>
      </c>
      <c r="D184" s="109">
        <f>IF(Term&gt;=B184,ROUND(F183*Rate/PYR,2),"")</f>
        <v>449.17</v>
      </c>
      <c r="E184" s="109">
        <f>IF(Term&gt;=B184,-PMT,"")</f>
        <v>1131.54</v>
      </c>
      <c r="F184" s="109">
        <f>IF(Term&gt;=B184,Loan-SUM(C$10:C184),"")</f>
        <v>165166.47999999998</v>
      </c>
    </row>
    <row r="185" spans="2:6">
      <c r="B185" s="111">
        <f t="shared" si="2"/>
        <v>175</v>
      </c>
      <c r="C185" s="106">
        <f>IF(Term&gt;=B185,E185-D185,"")</f>
        <v>684.21</v>
      </c>
      <c r="D185" s="106">
        <f>IF(Term&gt;=B185,ROUND(F184*Rate/PYR,2),"")</f>
        <v>447.33</v>
      </c>
      <c r="E185" s="106">
        <f>IF(Term&gt;=B185,-PMT,"")</f>
        <v>1131.54</v>
      </c>
      <c r="F185" s="106">
        <f>IF(Term&gt;=B185,Loan-SUM(C$10:C185),"")</f>
        <v>164482.26999999996</v>
      </c>
    </row>
    <row r="186" spans="2:6">
      <c r="B186" s="28">
        <f t="shared" si="2"/>
        <v>176</v>
      </c>
      <c r="C186" s="109">
        <f>IF(Term&gt;=B186,E186-D186,"")</f>
        <v>686.06999999999994</v>
      </c>
      <c r="D186" s="109">
        <f>IF(Term&gt;=B186,ROUND(F185*Rate/PYR,2),"")</f>
        <v>445.47</v>
      </c>
      <c r="E186" s="109">
        <f>IF(Term&gt;=B186,-PMT,"")</f>
        <v>1131.54</v>
      </c>
      <c r="F186" s="109">
        <f>IF(Term&gt;=B186,Loan-SUM(C$10:C186),"")</f>
        <v>163796.19999999995</v>
      </c>
    </row>
    <row r="187" spans="2:6">
      <c r="B187" s="111">
        <f t="shared" si="2"/>
        <v>177</v>
      </c>
      <c r="C187" s="106">
        <f>IF(Term&gt;=B187,E187-D187,"")</f>
        <v>687.93</v>
      </c>
      <c r="D187" s="106">
        <f>IF(Term&gt;=B187,ROUND(F186*Rate/PYR,2),"")</f>
        <v>443.61</v>
      </c>
      <c r="E187" s="106">
        <f>IF(Term&gt;=B187,-PMT,"")</f>
        <v>1131.54</v>
      </c>
      <c r="F187" s="106">
        <f>IF(Term&gt;=B187,Loan-SUM(C$10:C187),"")</f>
        <v>163108.26999999996</v>
      </c>
    </row>
    <row r="188" spans="2:6">
      <c r="B188" s="28">
        <f t="shared" si="2"/>
        <v>178</v>
      </c>
      <c r="C188" s="109">
        <f>IF(Term&gt;=B188,E188-D188,"")</f>
        <v>689.79</v>
      </c>
      <c r="D188" s="109">
        <f>IF(Term&gt;=B188,ROUND(F187*Rate/PYR,2),"")</f>
        <v>441.75</v>
      </c>
      <c r="E188" s="109">
        <f>IF(Term&gt;=B188,-PMT,"")</f>
        <v>1131.54</v>
      </c>
      <c r="F188" s="109">
        <f>IF(Term&gt;=B188,Loan-SUM(C$10:C188),"")</f>
        <v>162418.47999999998</v>
      </c>
    </row>
    <row r="189" spans="2:6">
      <c r="B189" s="111">
        <f t="shared" si="2"/>
        <v>179</v>
      </c>
      <c r="C189" s="106">
        <f>IF(Term&gt;=B189,E189-D189,"")</f>
        <v>691.66</v>
      </c>
      <c r="D189" s="106">
        <f>IF(Term&gt;=B189,ROUND(F188*Rate/PYR,2),"")</f>
        <v>439.88</v>
      </c>
      <c r="E189" s="106">
        <f>IF(Term&gt;=B189,-PMT,"")</f>
        <v>1131.54</v>
      </c>
      <c r="F189" s="106">
        <f>IF(Term&gt;=B189,Loan-SUM(C$10:C189),"")</f>
        <v>161726.81999999995</v>
      </c>
    </row>
    <row r="190" spans="2:6">
      <c r="B190" s="28">
        <f t="shared" si="2"/>
        <v>180</v>
      </c>
      <c r="C190" s="109">
        <f>IF(Term&gt;=B190,E190-D190,"")</f>
        <v>693.53</v>
      </c>
      <c r="D190" s="109">
        <f>IF(Term&gt;=B190,ROUND(F189*Rate/PYR,2),"")</f>
        <v>438.01</v>
      </c>
      <c r="E190" s="109">
        <f>IF(Term&gt;=B190,-PMT,"")</f>
        <v>1131.54</v>
      </c>
      <c r="F190" s="109">
        <f>IF(Term&gt;=B190,Loan-SUM(C$10:C190),"")</f>
        <v>161033.28999999998</v>
      </c>
    </row>
    <row r="191" spans="2:6">
      <c r="B191" s="111">
        <f t="shared" si="2"/>
        <v>181</v>
      </c>
      <c r="C191" s="106">
        <f>IF(Term&gt;=B191,E191-D191,"")</f>
        <v>695.41</v>
      </c>
      <c r="D191" s="106">
        <f>IF(Term&gt;=B191,ROUND(F190*Rate/PYR,2),"")</f>
        <v>436.13</v>
      </c>
      <c r="E191" s="106">
        <f>IF(Term&gt;=B191,-PMT,"")</f>
        <v>1131.54</v>
      </c>
      <c r="F191" s="106">
        <f>IF(Term&gt;=B191,Loan-SUM(C$10:C191),"")</f>
        <v>160337.87999999995</v>
      </c>
    </row>
    <row r="192" spans="2:6">
      <c r="B192" s="28">
        <f t="shared" si="2"/>
        <v>182</v>
      </c>
      <c r="C192" s="109">
        <f>IF(Term&gt;=B192,E192-D192,"")</f>
        <v>697.29</v>
      </c>
      <c r="D192" s="109">
        <f>IF(Term&gt;=B192,ROUND(F191*Rate/PYR,2),"")</f>
        <v>434.25</v>
      </c>
      <c r="E192" s="109">
        <f>IF(Term&gt;=B192,-PMT,"")</f>
        <v>1131.54</v>
      </c>
      <c r="F192" s="109">
        <f>IF(Term&gt;=B192,Loan-SUM(C$10:C192),"")</f>
        <v>159640.58999999997</v>
      </c>
    </row>
    <row r="193" spans="2:6">
      <c r="B193" s="111">
        <f t="shared" si="2"/>
        <v>183</v>
      </c>
      <c r="C193" s="106">
        <f>IF(Term&gt;=B193,E193-D193,"")</f>
        <v>699.18</v>
      </c>
      <c r="D193" s="106">
        <f>IF(Term&gt;=B193,ROUND(F192*Rate/PYR,2),"")</f>
        <v>432.36</v>
      </c>
      <c r="E193" s="106">
        <f>IF(Term&gt;=B193,-PMT,"")</f>
        <v>1131.54</v>
      </c>
      <c r="F193" s="106">
        <f>IF(Term&gt;=B193,Loan-SUM(C$10:C193),"")</f>
        <v>158941.40999999997</v>
      </c>
    </row>
    <row r="194" spans="2:6">
      <c r="B194" s="28">
        <f t="shared" si="2"/>
        <v>184</v>
      </c>
      <c r="C194" s="109">
        <f>IF(Term&gt;=B194,E194-D194,"")</f>
        <v>701.06999999999994</v>
      </c>
      <c r="D194" s="109">
        <f>IF(Term&gt;=B194,ROUND(F193*Rate/PYR,2),"")</f>
        <v>430.47</v>
      </c>
      <c r="E194" s="109">
        <f>IF(Term&gt;=B194,-PMT,"")</f>
        <v>1131.54</v>
      </c>
      <c r="F194" s="109">
        <f>IF(Term&gt;=B194,Loan-SUM(C$10:C194),"")</f>
        <v>158240.33999999997</v>
      </c>
    </row>
    <row r="195" spans="2:6">
      <c r="B195" s="111">
        <f t="shared" si="2"/>
        <v>185</v>
      </c>
      <c r="C195" s="106">
        <f>IF(Term&gt;=B195,E195-D195,"")</f>
        <v>702.97</v>
      </c>
      <c r="D195" s="106">
        <f>IF(Term&gt;=B195,ROUND(F194*Rate/PYR,2),"")</f>
        <v>428.57</v>
      </c>
      <c r="E195" s="106">
        <f>IF(Term&gt;=B195,-PMT,"")</f>
        <v>1131.54</v>
      </c>
      <c r="F195" s="106">
        <f>IF(Term&gt;=B195,Loan-SUM(C$10:C195),"")</f>
        <v>157537.36999999997</v>
      </c>
    </row>
    <row r="196" spans="2:6">
      <c r="B196" s="28">
        <f t="shared" si="2"/>
        <v>186</v>
      </c>
      <c r="C196" s="109">
        <f>IF(Term&gt;=B196,E196-D196,"")</f>
        <v>704.87999999999988</v>
      </c>
      <c r="D196" s="109">
        <f>IF(Term&gt;=B196,ROUND(F195*Rate/PYR,2),"")</f>
        <v>426.66</v>
      </c>
      <c r="E196" s="109">
        <f>IF(Term&gt;=B196,-PMT,"")</f>
        <v>1131.54</v>
      </c>
      <c r="F196" s="109">
        <f>IF(Term&gt;=B196,Loan-SUM(C$10:C196),"")</f>
        <v>156832.48999999996</v>
      </c>
    </row>
    <row r="197" spans="2:6">
      <c r="B197" s="111">
        <f t="shared" si="2"/>
        <v>187</v>
      </c>
      <c r="C197" s="106">
        <f>IF(Term&gt;=B197,E197-D197,"")</f>
        <v>706.79</v>
      </c>
      <c r="D197" s="106">
        <f>IF(Term&gt;=B197,ROUND(F196*Rate/PYR,2),"")</f>
        <v>424.75</v>
      </c>
      <c r="E197" s="106">
        <f>IF(Term&gt;=B197,-PMT,"")</f>
        <v>1131.54</v>
      </c>
      <c r="F197" s="106">
        <f>IF(Term&gt;=B197,Loan-SUM(C$10:C197),"")</f>
        <v>156125.69999999995</v>
      </c>
    </row>
    <row r="198" spans="2:6">
      <c r="B198" s="28">
        <f t="shared" si="2"/>
        <v>188</v>
      </c>
      <c r="C198" s="109">
        <f>IF(Term&gt;=B198,E198-D198,"")</f>
        <v>708.7</v>
      </c>
      <c r="D198" s="109">
        <f>IF(Term&gt;=B198,ROUND(F197*Rate/PYR,2),"")</f>
        <v>422.84</v>
      </c>
      <c r="E198" s="109">
        <f>IF(Term&gt;=B198,-PMT,"")</f>
        <v>1131.54</v>
      </c>
      <c r="F198" s="109">
        <f>IF(Term&gt;=B198,Loan-SUM(C$10:C198),"")</f>
        <v>155416.99999999997</v>
      </c>
    </row>
    <row r="199" spans="2:6">
      <c r="B199" s="111">
        <f t="shared" si="2"/>
        <v>189</v>
      </c>
      <c r="C199" s="106">
        <f>IF(Term&gt;=B199,E199-D199,"")</f>
        <v>710.61999999999989</v>
      </c>
      <c r="D199" s="106">
        <f>IF(Term&gt;=B199,ROUND(F198*Rate/PYR,2),"")</f>
        <v>420.92</v>
      </c>
      <c r="E199" s="106">
        <f>IF(Term&gt;=B199,-PMT,"")</f>
        <v>1131.54</v>
      </c>
      <c r="F199" s="106">
        <f>IF(Term&gt;=B199,Loan-SUM(C$10:C199),"")</f>
        <v>154706.37999999998</v>
      </c>
    </row>
    <row r="200" spans="2:6">
      <c r="B200" s="28">
        <f t="shared" si="2"/>
        <v>190</v>
      </c>
      <c r="C200" s="109">
        <f>IF(Term&gt;=B200,E200-D200,"")</f>
        <v>712.54</v>
      </c>
      <c r="D200" s="109">
        <f>IF(Term&gt;=B200,ROUND(F199*Rate/PYR,2),"")</f>
        <v>419</v>
      </c>
      <c r="E200" s="109">
        <f>IF(Term&gt;=B200,-PMT,"")</f>
        <v>1131.54</v>
      </c>
      <c r="F200" s="109">
        <f>IF(Term&gt;=B200,Loan-SUM(C$10:C200),"")</f>
        <v>153993.83999999997</v>
      </c>
    </row>
    <row r="201" spans="2:6">
      <c r="B201" s="111">
        <f t="shared" si="2"/>
        <v>191</v>
      </c>
      <c r="C201" s="106">
        <f>IF(Term&gt;=B201,E201-D201,"")</f>
        <v>714.47</v>
      </c>
      <c r="D201" s="106">
        <f>IF(Term&gt;=B201,ROUND(F200*Rate/PYR,2),"")</f>
        <v>417.07</v>
      </c>
      <c r="E201" s="106">
        <f>IF(Term&gt;=B201,-PMT,"")</f>
        <v>1131.54</v>
      </c>
      <c r="F201" s="106">
        <f>IF(Term&gt;=B201,Loan-SUM(C$10:C201),"")</f>
        <v>153279.37</v>
      </c>
    </row>
    <row r="202" spans="2:6">
      <c r="B202" s="28">
        <f t="shared" si="2"/>
        <v>192</v>
      </c>
      <c r="C202" s="109">
        <f>IF(Term&gt;=B202,E202-D202,"")</f>
        <v>716.41</v>
      </c>
      <c r="D202" s="109">
        <f>IF(Term&gt;=B202,ROUND(F201*Rate/PYR,2),"")</f>
        <v>415.13</v>
      </c>
      <c r="E202" s="109">
        <f>IF(Term&gt;=B202,-PMT,"")</f>
        <v>1131.54</v>
      </c>
      <c r="F202" s="109">
        <f>IF(Term&gt;=B202,Loan-SUM(C$10:C202),"")</f>
        <v>152562.95999999996</v>
      </c>
    </row>
    <row r="203" spans="2:6">
      <c r="B203" s="111">
        <f t="shared" si="2"/>
        <v>193</v>
      </c>
      <c r="C203" s="106">
        <f>IF(Term&gt;=B203,E203-D203,"")</f>
        <v>718.34999999999991</v>
      </c>
      <c r="D203" s="106">
        <f>IF(Term&gt;=B203,ROUND(F202*Rate/PYR,2),"")</f>
        <v>413.19</v>
      </c>
      <c r="E203" s="106">
        <f>IF(Term&gt;=B203,-PMT,"")</f>
        <v>1131.54</v>
      </c>
      <c r="F203" s="106">
        <f>IF(Term&gt;=B203,Loan-SUM(C$10:C203),"")</f>
        <v>151844.60999999999</v>
      </c>
    </row>
    <row r="204" spans="2:6">
      <c r="B204" s="28">
        <f t="shared" si="2"/>
        <v>194</v>
      </c>
      <c r="C204" s="109">
        <f>IF(Term&gt;=B204,E204-D204,"")</f>
        <v>720.29</v>
      </c>
      <c r="D204" s="109">
        <f>IF(Term&gt;=B204,ROUND(F203*Rate/PYR,2),"")</f>
        <v>411.25</v>
      </c>
      <c r="E204" s="109">
        <f>IF(Term&gt;=B204,-PMT,"")</f>
        <v>1131.54</v>
      </c>
      <c r="F204" s="109">
        <f>IF(Term&gt;=B204,Loan-SUM(C$10:C204),"")</f>
        <v>151124.31999999998</v>
      </c>
    </row>
    <row r="205" spans="2:6">
      <c r="B205" s="111">
        <f t="shared" ref="B205:B268" si="3">B204+1</f>
        <v>195</v>
      </c>
      <c r="C205" s="106">
        <f>IF(Term&gt;=B205,E205-D205,"")</f>
        <v>722.24</v>
      </c>
      <c r="D205" s="106">
        <f>IF(Term&gt;=B205,ROUND(F204*Rate/PYR,2),"")</f>
        <v>409.3</v>
      </c>
      <c r="E205" s="106">
        <f>IF(Term&gt;=B205,-PMT,"")</f>
        <v>1131.54</v>
      </c>
      <c r="F205" s="106">
        <f>IF(Term&gt;=B205,Loan-SUM(C$10:C205),"")</f>
        <v>150402.07999999996</v>
      </c>
    </row>
    <row r="206" spans="2:6">
      <c r="B206" s="28">
        <f t="shared" si="3"/>
        <v>196</v>
      </c>
      <c r="C206" s="109">
        <f>IF(Term&gt;=B206,E206-D206,"")</f>
        <v>724.2</v>
      </c>
      <c r="D206" s="109">
        <f>IF(Term&gt;=B206,ROUND(F205*Rate/PYR,2),"")</f>
        <v>407.34</v>
      </c>
      <c r="E206" s="109">
        <f>IF(Term&gt;=B206,-PMT,"")</f>
        <v>1131.54</v>
      </c>
      <c r="F206" s="109">
        <f>IF(Term&gt;=B206,Loan-SUM(C$10:C206),"")</f>
        <v>149677.87999999998</v>
      </c>
    </row>
    <row r="207" spans="2:6">
      <c r="B207" s="111">
        <f t="shared" si="3"/>
        <v>197</v>
      </c>
      <c r="C207" s="106">
        <f>IF(Term&gt;=B207,E207-D207,"")</f>
        <v>726.16</v>
      </c>
      <c r="D207" s="106">
        <f>IF(Term&gt;=B207,ROUND(F206*Rate/PYR,2),"")</f>
        <v>405.38</v>
      </c>
      <c r="E207" s="106">
        <f>IF(Term&gt;=B207,-PMT,"")</f>
        <v>1131.54</v>
      </c>
      <c r="F207" s="106">
        <f>IF(Term&gt;=B207,Loan-SUM(C$10:C207),"")</f>
        <v>148951.71999999997</v>
      </c>
    </row>
    <row r="208" spans="2:6">
      <c r="B208" s="28">
        <f t="shared" si="3"/>
        <v>198</v>
      </c>
      <c r="C208" s="109">
        <f>IF(Term&gt;=B208,E208-D208,"")</f>
        <v>728.12999999999988</v>
      </c>
      <c r="D208" s="109">
        <f>IF(Term&gt;=B208,ROUND(F207*Rate/PYR,2),"")</f>
        <v>403.41</v>
      </c>
      <c r="E208" s="109">
        <f>IF(Term&gt;=B208,-PMT,"")</f>
        <v>1131.54</v>
      </c>
      <c r="F208" s="109">
        <f>IF(Term&gt;=B208,Loan-SUM(C$10:C208),"")</f>
        <v>148223.58999999997</v>
      </c>
    </row>
    <row r="209" spans="2:6">
      <c r="B209" s="111">
        <f t="shared" si="3"/>
        <v>199</v>
      </c>
      <c r="C209" s="106">
        <f>IF(Term&gt;=B209,E209-D209,"")</f>
        <v>730.09999999999991</v>
      </c>
      <c r="D209" s="106">
        <f>IF(Term&gt;=B209,ROUND(F208*Rate/PYR,2),"")</f>
        <v>401.44</v>
      </c>
      <c r="E209" s="106">
        <f>IF(Term&gt;=B209,-PMT,"")</f>
        <v>1131.54</v>
      </c>
      <c r="F209" s="106">
        <f>IF(Term&gt;=B209,Loan-SUM(C$10:C209),"")</f>
        <v>147493.48999999996</v>
      </c>
    </row>
    <row r="210" spans="2:6">
      <c r="B210" s="28">
        <f t="shared" si="3"/>
        <v>200</v>
      </c>
      <c r="C210" s="109">
        <f>IF(Term&gt;=B210,E210-D210,"")</f>
        <v>732.07999999999993</v>
      </c>
      <c r="D210" s="109">
        <f>IF(Term&gt;=B210,ROUND(F209*Rate/PYR,2),"")</f>
        <v>399.46</v>
      </c>
      <c r="E210" s="109">
        <f>IF(Term&gt;=B210,-PMT,"")</f>
        <v>1131.54</v>
      </c>
      <c r="F210" s="109">
        <f>IF(Term&gt;=B210,Loan-SUM(C$10:C210),"")</f>
        <v>146761.40999999997</v>
      </c>
    </row>
    <row r="211" spans="2:6">
      <c r="B211" s="111">
        <f t="shared" si="3"/>
        <v>201</v>
      </c>
      <c r="C211" s="106">
        <f>IF(Term&gt;=B211,E211-D211,"")</f>
        <v>734.06</v>
      </c>
      <c r="D211" s="106">
        <f>IF(Term&gt;=B211,ROUND(F210*Rate/PYR,2),"")</f>
        <v>397.48</v>
      </c>
      <c r="E211" s="106">
        <f>IF(Term&gt;=B211,-PMT,"")</f>
        <v>1131.54</v>
      </c>
      <c r="F211" s="106">
        <f>IF(Term&gt;=B211,Loan-SUM(C$10:C211),"")</f>
        <v>146027.34999999998</v>
      </c>
    </row>
    <row r="212" spans="2:6">
      <c r="B212" s="28">
        <f t="shared" si="3"/>
        <v>202</v>
      </c>
      <c r="C212" s="109">
        <f>IF(Term&gt;=B212,E212-D212,"")</f>
        <v>736.05</v>
      </c>
      <c r="D212" s="109">
        <f>IF(Term&gt;=B212,ROUND(F211*Rate/PYR,2),"")</f>
        <v>395.49</v>
      </c>
      <c r="E212" s="109">
        <f>IF(Term&gt;=B212,-PMT,"")</f>
        <v>1131.54</v>
      </c>
      <c r="F212" s="109">
        <f>IF(Term&gt;=B212,Loan-SUM(C$10:C212),"")</f>
        <v>145291.29999999996</v>
      </c>
    </row>
    <row r="213" spans="2:6">
      <c r="B213" s="111">
        <f t="shared" si="3"/>
        <v>203</v>
      </c>
      <c r="C213" s="106">
        <f>IF(Term&gt;=B213,E213-D213,"")</f>
        <v>738.04</v>
      </c>
      <c r="D213" s="106">
        <f>IF(Term&gt;=B213,ROUND(F212*Rate/PYR,2),"")</f>
        <v>393.5</v>
      </c>
      <c r="E213" s="106">
        <f>IF(Term&gt;=B213,-PMT,"")</f>
        <v>1131.54</v>
      </c>
      <c r="F213" s="106">
        <f>IF(Term&gt;=B213,Loan-SUM(C$10:C213),"")</f>
        <v>144553.25999999995</v>
      </c>
    </row>
    <row r="214" spans="2:6">
      <c r="B214" s="28">
        <f t="shared" si="3"/>
        <v>204</v>
      </c>
      <c r="C214" s="109">
        <f>IF(Term&gt;=B214,E214-D214,"")</f>
        <v>740.04</v>
      </c>
      <c r="D214" s="109">
        <f>IF(Term&gt;=B214,ROUND(F213*Rate/PYR,2),"")</f>
        <v>391.5</v>
      </c>
      <c r="E214" s="109">
        <f>IF(Term&gt;=B214,-PMT,"")</f>
        <v>1131.54</v>
      </c>
      <c r="F214" s="109">
        <f>IF(Term&gt;=B214,Loan-SUM(C$10:C214),"")</f>
        <v>143813.21999999997</v>
      </c>
    </row>
    <row r="215" spans="2:6">
      <c r="B215" s="111">
        <f t="shared" si="3"/>
        <v>205</v>
      </c>
      <c r="C215" s="106">
        <f>IF(Term&gt;=B215,E215-D215,"")</f>
        <v>742.05</v>
      </c>
      <c r="D215" s="106">
        <f>IF(Term&gt;=B215,ROUND(F214*Rate/PYR,2),"")</f>
        <v>389.49</v>
      </c>
      <c r="E215" s="106">
        <f>IF(Term&gt;=B215,-PMT,"")</f>
        <v>1131.54</v>
      </c>
      <c r="F215" s="106">
        <f>IF(Term&gt;=B215,Loan-SUM(C$10:C215),"")</f>
        <v>143071.16999999998</v>
      </c>
    </row>
    <row r="216" spans="2:6">
      <c r="B216" s="28">
        <f t="shared" si="3"/>
        <v>206</v>
      </c>
      <c r="C216" s="109">
        <f>IF(Term&gt;=B216,E216-D216,"")</f>
        <v>744.06</v>
      </c>
      <c r="D216" s="109">
        <f>IF(Term&gt;=B216,ROUND(F215*Rate/PYR,2),"")</f>
        <v>387.48</v>
      </c>
      <c r="E216" s="109">
        <f>IF(Term&gt;=B216,-PMT,"")</f>
        <v>1131.54</v>
      </c>
      <c r="F216" s="109">
        <f>IF(Term&gt;=B216,Loan-SUM(C$10:C216),"")</f>
        <v>142327.10999999999</v>
      </c>
    </row>
    <row r="217" spans="2:6">
      <c r="B217" s="111">
        <f t="shared" si="3"/>
        <v>207</v>
      </c>
      <c r="C217" s="106">
        <f>IF(Term&gt;=B217,E217-D217,"")</f>
        <v>746.06999999999994</v>
      </c>
      <c r="D217" s="106">
        <f>IF(Term&gt;=B217,ROUND(F216*Rate/PYR,2),"")</f>
        <v>385.47</v>
      </c>
      <c r="E217" s="106">
        <f>IF(Term&gt;=B217,-PMT,"")</f>
        <v>1131.54</v>
      </c>
      <c r="F217" s="106">
        <f>IF(Term&gt;=B217,Loan-SUM(C$10:C217),"")</f>
        <v>141581.03999999998</v>
      </c>
    </row>
    <row r="218" spans="2:6">
      <c r="B218" s="28">
        <f t="shared" si="3"/>
        <v>208</v>
      </c>
      <c r="C218" s="109">
        <f>IF(Term&gt;=B218,E218-D218,"")</f>
        <v>748.08999999999992</v>
      </c>
      <c r="D218" s="109">
        <f>IF(Term&gt;=B218,ROUND(F217*Rate/PYR,2),"")</f>
        <v>383.45</v>
      </c>
      <c r="E218" s="109">
        <f>IF(Term&gt;=B218,-PMT,"")</f>
        <v>1131.54</v>
      </c>
      <c r="F218" s="109">
        <f>IF(Term&gt;=B218,Loan-SUM(C$10:C218),"")</f>
        <v>140832.94999999995</v>
      </c>
    </row>
    <row r="219" spans="2:6">
      <c r="B219" s="111">
        <f t="shared" si="3"/>
        <v>209</v>
      </c>
      <c r="C219" s="106">
        <f>IF(Term&gt;=B219,E219-D219,"")</f>
        <v>750.11999999999989</v>
      </c>
      <c r="D219" s="106">
        <f>IF(Term&gt;=B219,ROUND(F218*Rate/PYR,2),"")</f>
        <v>381.42</v>
      </c>
      <c r="E219" s="106">
        <f>IF(Term&gt;=B219,-PMT,"")</f>
        <v>1131.54</v>
      </c>
      <c r="F219" s="106">
        <f>IF(Term&gt;=B219,Loan-SUM(C$10:C219),"")</f>
        <v>140082.82999999996</v>
      </c>
    </row>
    <row r="220" spans="2:6">
      <c r="B220" s="28">
        <f t="shared" si="3"/>
        <v>210</v>
      </c>
      <c r="C220" s="109">
        <f>IF(Term&gt;=B220,E220-D220,"")</f>
        <v>752.15</v>
      </c>
      <c r="D220" s="109">
        <f>IF(Term&gt;=B220,ROUND(F219*Rate/PYR,2),"")</f>
        <v>379.39</v>
      </c>
      <c r="E220" s="109">
        <f>IF(Term&gt;=B220,-PMT,"")</f>
        <v>1131.54</v>
      </c>
      <c r="F220" s="109">
        <f>IF(Term&gt;=B220,Loan-SUM(C$10:C220),"")</f>
        <v>139330.68</v>
      </c>
    </row>
    <row r="221" spans="2:6">
      <c r="B221" s="111">
        <f t="shared" si="3"/>
        <v>211</v>
      </c>
      <c r="C221" s="106">
        <f>IF(Term&gt;=B221,E221-D221,"")</f>
        <v>754.18999999999994</v>
      </c>
      <c r="D221" s="106">
        <f>IF(Term&gt;=B221,ROUND(F220*Rate/PYR,2),"")</f>
        <v>377.35</v>
      </c>
      <c r="E221" s="106">
        <f>IF(Term&gt;=B221,-PMT,"")</f>
        <v>1131.54</v>
      </c>
      <c r="F221" s="106">
        <f>IF(Term&gt;=B221,Loan-SUM(C$10:C221),"")</f>
        <v>138576.49</v>
      </c>
    </row>
    <row r="222" spans="2:6">
      <c r="B222" s="28">
        <f t="shared" si="3"/>
        <v>212</v>
      </c>
      <c r="C222" s="109">
        <f>IF(Term&gt;=B222,E222-D222,"")</f>
        <v>756.23</v>
      </c>
      <c r="D222" s="109">
        <f>IF(Term&gt;=B222,ROUND(F221*Rate/PYR,2),"")</f>
        <v>375.31</v>
      </c>
      <c r="E222" s="109">
        <f>IF(Term&gt;=B222,-PMT,"")</f>
        <v>1131.54</v>
      </c>
      <c r="F222" s="109">
        <f>IF(Term&gt;=B222,Loan-SUM(C$10:C222),"")</f>
        <v>137820.25999999998</v>
      </c>
    </row>
    <row r="223" spans="2:6">
      <c r="B223" s="111">
        <f t="shared" si="3"/>
        <v>213</v>
      </c>
      <c r="C223" s="106">
        <f>IF(Term&gt;=B223,E223-D223,"")</f>
        <v>758.28</v>
      </c>
      <c r="D223" s="106">
        <f>IF(Term&gt;=B223,ROUND(F222*Rate/PYR,2),"")</f>
        <v>373.26</v>
      </c>
      <c r="E223" s="106">
        <f>IF(Term&gt;=B223,-PMT,"")</f>
        <v>1131.54</v>
      </c>
      <c r="F223" s="106">
        <f>IF(Term&gt;=B223,Loan-SUM(C$10:C223),"")</f>
        <v>137061.97999999998</v>
      </c>
    </row>
    <row r="224" spans="2:6">
      <c r="B224" s="28">
        <f t="shared" si="3"/>
        <v>214</v>
      </c>
      <c r="C224" s="109">
        <f>IF(Term&gt;=B224,E224-D224,"")</f>
        <v>760.32999999999993</v>
      </c>
      <c r="D224" s="109">
        <f>IF(Term&gt;=B224,ROUND(F223*Rate/PYR,2),"")</f>
        <v>371.21</v>
      </c>
      <c r="E224" s="109">
        <f>IF(Term&gt;=B224,-PMT,"")</f>
        <v>1131.54</v>
      </c>
      <c r="F224" s="109">
        <f>IF(Term&gt;=B224,Loan-SUM(C$10:C224),"")</f>
        <v>136301.64999999997</v>
      </c>
    </row>
    <row r="225" spans="2:6">
      <c r="B225" s="111">
        <f t="shared" si="3"/>
        <v>215</v>
      </c>
      <c r="C225" s="106">
        <f>IF(Term&gt;=B225,E225-D225,"")</f>
        <v>762.39</v>
      </c>
      <c r="D225" s="106">
        <f>IF(Term&gt;=B225,ROUND(F224*Rate/PYR,2),"")</f>
        <v>369.15</v>
      </c>
      <c r="E225" s="106">
        <f>IF(Term&gt;=B225,-PMT,"")</f>
        <v>1131.54</v>
      </c>
      <c r="F225" s="106">
        <f>IF(Term&gt;=B225,Loan-SUM(C$10:C225),"")</f>
        <v>135539.25999999998</v>
      </c>
    </row>
    <row r="226" spans="2:6">
      <c r="B226" s="28">
        <f t="shared" si="3"/>
        <v>216</v>
      </c>
      <c r="C226" s="109">
        <f>IF(Term&gt;=B226,E226-D226,"")</f>
        <v>764.45</v>
      </c>
      <c r="D226" s="109">
        <f>IF(Term&gt;=B226,ROUND(F225*Rate/PYR,2),"")</f>
        <v>367.09</v>
      </c>
      <c r="E226" s="109">
        <f>IF(Term&gt;=B226,-PMT,"")</f>
        <v>1131.54</v>
      </c>
      <c r="F226" s="109">
        <f>IF(Term&gt;=B226,Loan-SUM(C$10:C226),"")</f>
        <v>134774.81</v>
      </c>
    </row>
    <row r="227" spans="2:6">
      <c r="B227" s="111">
        <f t="shared" si="3"/>
        <v>217</v>
      </c>
      <c r="C227" s="106">
        <f>IF(Term&gt;=B227,E227-D227,"")</f>
        <v>766.52</v>
      </c>
      <c r="D227" s="106">
        <f>IF(Term&gt;=B227,ROUND(F226*Rate/PYR,2),"")</f>
        <v>365.02</v>
      </c>
      <c r="E227" s="106">
        <f>IF(Term&gt;=B227,-PMT,"")</f>
        <v>1131.54</v>
      </c>
      <c r="F227" s="106">
        <f>IF(Term&gt;=B227,Loan-SUM(C$10:C227),"")</f>
        <v>134008.28999999998</v>
      </c>
    </row>
    <row r="228" spans="2:6">
      <c r="B228" s="28">
        <f t="shared" si="3"/>
        <v>218</v>
      </c>
      <c r="C228" s="109">
        <f>IF(Term&gt;=B228,E228-D228,"")</f>
        <v>768.59999999999991</v>
      </c>
      <c r="D228" s="109">
        <f>IF(Term&gt;=B228,ROUND(F227*Rate/PYR,2),"")</f>
        <v>362.94</v>
      </c>
      <c r="E228" s="109">
        <f>IF(Term&gt;=B228,-PMT,"")</f>
        <v>1131.54</v>
      </c>
      <c r="F228" s="109">
        <f>IF(Term&gt;=B228,Loan-SUM(C$10:C228),"")</f>
        <v>133239.68999999997</v>
      </c>
    </row>
    <row r="229" spans="2:6">
      <c r="B229" s="111">
        <f t="shared" si="3"/>
        <v>219</v>
      </c>
      <c r="C229" s="106">
        <f>IF(Term&gt;=B229,E229-D229,"")</f>
        <v>770.68</v>
      </c>
      <c r="D229" s="106">
        <f>IF(Term&gt;=B229,ROUND(F228*Rate/PYR,2),"")</f>
        <v>360.86</v>
      </c>
      <c r="E229" s="106">
        <f>IF(Term&gt;=B229,-PMT,"")</f>
        <v>1131.54</v>
      </c>
      <c r="F229" s="106">
        <f>IF(Term&gt;=B229,Loan-SUM(C$10:C229),"")</f>
        <v>132469.00999999998</v>
      </c>
    </row>
    <row r="230" spans="2:6">
      <c r="B230" s="28">
        <f t="shared" si="3"/>
        <v>220</v>
      </c>
      <c r="C230" s="109">
        <f>IF(Term&gt;=B230,E230-D230,"")</f>
        <v>772.77</v>
      </c>
      <c r="D230" s="109">
        <f>IF(Term&gt;=B230,ROUND(F229*Rate/PYR,2),"")</f>
        <v>358.77</v>
      </c>
      <c r="E230" s="109">
        <f>IF(Term&gt;=B230,-PMT,"")</f>
        <v>1131.54</v>
      </c>
      <c r="F230" s="109">
        <f>IF(Term&gt;=B230,Loan-SUM(C$10:C230),"")</f>
        <v>131696.24</v>
      </c>
    </row>
    <row r="231" spans="2:6">
      <c r="B231" s="111">
        <f t="shared" si="3"/>
        <v>221</v>
      </c>
      <c r="C231" s="106">
        <f>IF(Term&gt;=B231,E231-D231,"")</f>
        <v>774.8599999999999</v>
      </c>
      <c r="D231" s="106">
        <f>IF(Term&gt;=B231,ROUND(F230*Rate/PYR,2),"")</f>
        <v>356.68</v>
      </c>
      <c r="E231" s="106">
        <f>IF(Term&gt;=B231,-PMT,"")</f>
        <v>1131.54</v>
      </c>
      <c r="F231" s="106">
        <f>IF(Term&gt;=B231,Loan-SUM(C$10:C231),"")</f>
        <v>130921.37999999998</v>
      </c>
    </row>
    <row r="232" spans="2:6">
      <c r="B232" s="28">
        <f t="shared" si="3"/>
        <v>222</v>
      </c>
      <c r="C232" s="109">
        <f>IF(Term&gt;=B232,E232-D232,"")</f>
        <v>776.96</v>
      </c>
      <c r="D232" s="109">
        <f>IF(Term&gt;=B232,ROUND(F231*Rate/PYR,2),"")</f>
        <v>354.58</v>
      </c>
      <c r="E232" s="109">
        <f>IF(Term&gt;=B232,-PMT,"")</f>
        <v>1131.54</v>
      </c>
      <c r="F232" s="109">
        <f>IF(Term&gt;=B232,Loan-SUM(C$10:C232),"")</f>
        <v>130144.41999999997</v>
      </c>
    </row>
    <row r="233" spans="2:6">
      <c r="B233" s="111">
        <f t="shared" si="3"/>
        <v>223</v>
      </c>
      <c r="C233" s="106">
        <f>IF(Term&gt;=B233,E233-D233,"")</f>
        <v>779.06999999999994</v>
      </c>
      <c r="D233" s="106">
        <f>IF(Term&gt;=B233,ROUND(F232*Rate/PYR,2),"")</f>
        <v>352.47</v>
      </c>
      <c r="E233" s="106">
        <f>IF(Term&gt;=B233,-PMT,"")</f>
        <v>1131.54</v>
      </c>
      <c r="F233" s="106">
        <f>IF(Term&gt;=B233,Loan-SUM(C$10:C233),"")</f>
        <v>129365.34999999996</v>
      </c>
    </row>
    <row r="234" spans="2:6">
      <c r="B234" s="28">
        <f t="shared" si="3"/>
        <v>224</v>
      </c>
      <c r="C234" s="109">
        <f>IF(Term&gt;=B234,E234-D234,"")</f>
        <v>781.18</v>
      </c>
      <c r="D234" s="109">
        <f>IF(Term&gt;=B234,ROUND(F233*Rate/PYR,2),"")</f>
        <v>350.36</v>
      </c>
      <c r="E234" s="109">
        <f>IF(Term&gt;=B234,-PMT,"")</f>
        <v>1131.54</v>
      </c>
      <c r="F234" s="109">
        <f>IF(Term&gt;=B234,Loan-SUM(C$10:C234),"")</f>
        <v>128584.16999999995</v>
      </c>
    </row>
    <row r="235" spans="2:6">
      <c r="B235" s="111">
        <f t="shared" si="3"/>
        <v>225</v>
      </c>
      <c r="C235" s="106">
        <f>IF(Term&gt;=B235,E235-D235,"")</f>
        <v>783.29</v>
      </c>
      <c r="D235" s="106">
        <f>IF(Term&gt;=B235,ROUND(F234*Rate/PYR,2),"")</f>
        <v>348.25</v>
      </c>
      <c r="E235" s="106">
        <f>IF(Term&gt;=B235,-PMT,"")</f>
        <v>1131.54</v>
      </c>
      <c r="F235" s="106">
        <f>IF(Term&gt;=B235,Loan-SUM(C$10:C235),"")</f>
        <v>127800.87999999995</v>
      </c>
    </row>
    <row r="236" spans="2:6">
      <c r="B236" s="28">
        <f t="shared" si="3"/>
        <v>226</v>
      </c>
      <c r="C236" s="109">
        <f>IF(Term&gt;=B236,E236-D236,"")</f>
        <v>785.41</v>
      </c>
      <c r="D236" s="109">
        <f>IF(Term&gt;=B236,ROUND(F235*Rate/PYR,2),"")</f>
        <v>346.13</v>
      </c>
      <c r="E236" s="109">
        <f>IF(Term&gt;=B236,-PMT,"")</f>
        <v>1131.54</v>
      </c>
      <c r="F236" s="109">
        <f>IF(Term&gt;=B236,Loan-SUM(C$10:C236),"")</f>
        <v>127015.46999999994</v>
      </c>
    </row>
    <row r="237" spans="2:6">
      <c r="B237" s="111">
        <f t="shared" si="3"/>
        <v>227</v>
      </c>
      <c r="C237" s="106">
        <f>IF(Term&gt;=B237,E237-D237,"")</f>
        <v>787.54</v>
      </c>
      <c r="D237" s="106">
        <f>IF(Term&gt;=B237,ROUND(F236*Rate/PYR,2),"")</f>
        <v>344</v>
      </c>
      <c r="E237" s="106">
        <f>IF(Term&gt;=B237,-PMT,"")</f>
        <v>1131.54</v>
      </c>
      <c r="F237" s="106">
        <f>IF(Term&gt;=B237,Loan-SUM(C$10:C237),"")</f>
        <v>126227.92999999993</v>
      </c>
    </row>
    <row r="238" spans="2:6">
      <c r="B238" s="28">
        <f t="shared" si="3"/>
        <v>228</v>
      </c>
      <c r="C238" s="109">
        <f>IF(Term&gt;=B238,E238-D238,"")</f>
        <v>789.67</v>
      </c>
      <c r="D238" s="109">
        <f>IF(Term&gt;=B238,ROUND(F237*Rate/PYR,2),"")</f>
        <v>341.87</v>
      </c>
      <c r="E238" s="109">
        <f>IF(Term&gt;=B238,-PMT,"")</f>
        <v>1131.54</v>
      </c>
      <c r="F238" s="109">
        <f>IF(Term&gt;=B238,Loan-SUM(C$10:C238),"")</f>
        <v>125438.25999999992</v>
      </c>
    </row>
    <row r="239" spans="2:6">
      <c r="B239" s="111">
        <f t="shared" si="3"/>
        <v>229</v>
      </c>
      <c r="C239" s="106">
        <f>IF(Term&gt;=B239,E239-D239,"")</f>
        <v>791.81</v>
      </c>
      <c r="D239" s="106">
        <f>IF(Term&gt;=B239,ROUND(F238*Rate/PYR,2),"")</f>
        <v>339.73</v>
      </c>
      <c r="E239" s="106">
        <f>IF(Term&gt;=B239,-PMT,"")</f>
        <v>1131.54</v>
      </c>
      <c r="F239" s="106">
        <f>IF(Term&gt;=B239,Loan-SUM(C$10:C239),"")</f>
        <v>124646.44999999992</v>
      </c>
    </row>
    <row r="240" spans="2:6">
      <c r="B240" s="28">
        <f t="shared" si="3"/>
        <v>230</v>
      </c>
      <c r="C240" s="109">
        <f>IF(Term&gt;=B240,E240-D240,"")</f>
        <v>793.96</v>
      </c>
      <c r="D240" s="109">
        <f>IF(Term&gt;=B240,ROUND(F239*Rate/PYR,2),"")</f>
        <v>337.58</v>
      </c>
      <c r="E240" s="109">
        <f>IF(Term&gt;=B240,-PMT,"")</f>
        <v>1131.54</v>
      </c>
      <c r="F240" s="109">
        <f>IF(Term&gt;=B240,Loan-SUM(C$10:C240),"")</f>
        <v>123852.48999999993</v>
      </c>
    </row>
    <row r="241" spans="2:6">
      <c r="B241" s="111">
        <f t="shared" si="3"/>
        <v>231</v>
      </c>
      <c r="C241" s="106">
        <f>IF(Term&gt;=B241,E241-D241,"")</f>
        <v>796.1099999999999</v>
      </c>
      <c r="D241" s="106">
        <f>IF(Term&gt;=B241,ROUND(F240*Rate/PYR,2),"")</f>
        <v>335.43</v>
      </c>
      <c r="E241" s="106">
        <f>IF(Term&gt;=B241,-PMT,"")</f>
        <v>1131.54</v>
      </c>
      <c r="F241" s="106">
        <f>IF(Term&gt;=B241,Loan-SUM(C$10:C241),"")</f>
        <v>123056.37999999995</v>
      </c>
    </row>
    <row r="242" spans="2:6">
      <c r="B242" s="28">
        <f t="shared" si="3"/>
        <v>232</v>
      </c>
      <c r="C242" s="109">
        <f>IF(Term&gt;=B242,E242-D242,"")</f>
        <v>798.26</v>
      </c>
      <c r="D242" s="109">
        <f>IF(Term&gt;=B242,ROUND(F241*Rate/PYR,2),"")</f>
        <v>333.28</v>
      </c>
      <c r="E242" s="109">
        <f>IF(Term&gt;=B242,-PMT,"")</f>
        <v>1131.54</v>
      </c>
      <c r="F242" s="109">
        <f>IF(Term&gt;=B242,Loan-SUM(C$10:C242),"")</f>
        <v>122258.11999999994</v>
      </c>
    </row>
    <row r="243" spans="2:6">
      <c r="B243" s="111">
        <f t="shared" si="3"/>
        <v>233</v>
      </c>
      <c r="C243" s="106">
        <f>IF(Term&gt;=B243,E243-D243,"")</f>
        <v>800.42</v>
      </c>
      <c r="D243" s="106">
        <f>IF(Term&gt;=B243,ROUND(F242*Rate/PYR,2),"")</f>
        <v>331.12</v>
      </c>
      <c r="E243" s="106">
        <f>IF(Term&gt;=B243,-PMT,"")</f>
        <v>1131.54</v>
      </c>
      <c r="F243" s="106">
        <f>IF(Term&gt;=B243,Loan-SUM(C$10:C243),"")</f>
        <v>121457.69999999992</v>
      </c>
    </row>
    <row r="244" spans="2:6">
      <c r="B244" s="28">
        <f t="shared" si="3"/>
        <v>234</v>
      </c>
      <c r="C244" s="109">
        <f>IF(Term&gt;=B244,E244-D244,"")</f>
        <v>802.58999999999992</v>
      </c>
      <c r="D244" s="109">
        <f>IF(Term&gt;=B244,ROUND(F243*Rate/PYR,2),"")</f>
        <v>328.95</v>
      </c>
      <c r="E244" s="109">
        <f>IF(Term&gt;=B244,-PMT,"")</f>
        <v>1131.54</v>
      </c>
      <c r="F244" s="109">
        <f>IF(Term&gt;=B244,Loan-SUM(C$10:C244),"")</f>
        <v>120655.10999999993</v>
      </c>
    </row>
    <row r="245" spans="2:6">
      <c r="B245" s="111">
        <f t="shared" si="3"/>
        <v>235</v>
      </c>
      <c r="C245" s="106">
        <f>IF(Term&gt;=B245,E245-D245,"")</f>
        <v>804.77</v>
      </c>
      <c r="D245" s="106">
        <f>IF(Term&gt;=B245,ROUND(F244*Rate/PYR,2),"")</f>
        <v>326.77</v>
      </c>
      <c r="E245" s="106">
        <f>IF(Term&gt;=B245,-PMT,"")</f>
        <v>1131.54</v>
      </c>
      <c r="F245" s="106">
        <f>IF(Term&gt;=B245,Loan-SUM(C$10:C245),"")</f>
        <v>119850.33999999994</v>
      </c>
    </row>
    <row r="246" spans="2:6">
      <c r="B246" s="28">
        <f t="shared" si="3"/>
        <v>236</v>
      </c>
      <c r="C246" s="109">
        <f>IF(Term&gt;=B246,E246-D246,"")</f>
        <v>806.95</v>
      </c>
      <c r="D246" s="109">
        <f>IF(Term&gt;=B246,ROUND(F245*Rate/PYR,2),"")</f>
        <v>324.58999999999997</v>
      </c>
      <c r="E246" s="109">
        <f>IF(Term&gt;=B246,-PMT,"")</f>
        <v>1131.54</v>
      </c>
      <c r="F246" s="109">
        <f>IF(Term&gt;=B246,Loan-SUM(C$10:C246),"")</f>
        <v>119043.38999999993</v>
      </c>
    </row>
    <row r="247" spans="2:6">
      <c r="B247" s="111">
        <f t="shared" si="3"/>
        <v>237</v>
      </c>
      <c r="C247" s="106">
        <f>IF(Term&gt;=B247,E247-D247,"")</f>
        <v>809.12999999999988</v>
      </c>
      <c r="D247" s="106">
        <f>IF(Term&gt;=B247,ROUND(F246*Rate/PYR,2),"")</f>
        <v>322.41000000000003</v>
      </c>
      <c r="E247" s="106">
        <f>IF(Term&gt;=B247,-PMT,"")</f>
        <v>1131.54</v>
      </c>
      <c r="F247" s="106">
        <f>IF(Term&gt;=B247,Loan-SUM(C$10:C247),"")</f>
        <v>118234.25999999992</v>
      </c>
    </row>
    <row r="248" spans="2:6">
      <c r="B248" s="28">
        <f t="shared" si="3"/>
        <v>238</v>
      </c>
      <c r="C248" s="109">
        <f>IF(Term&gt;=B248,E248-D248,"")</f>
        <v>811.31999999999994</v>
      </c>
      <c r="D248" s="109">
        <f>IF(Term&gt;=B248,ROUND(F247*Rate/PYR,2),"")</f>
        <v>320.22000000000003</v>
      </c>
      <c r="E248" s="109">
        <f>IF(Term&gt;=B248,-PMT,"")</f>
        <v>1131.54</v>
      </c>
      <c r="F248" s="109">
        <f>IF(Term&gt;=B248,Loan-SUM(C$10:C248),"")</f>
        <v>117422.93999999992</v>
      </c>
    </row>
    <row r="249" spans="2:6">
      <c r="B249" s="111">
        <f t="shared" si="3"/>
        <v>239</v>
      </c>
      <c r="C249" s="106">
        <f>IF(Term&gt;=B249,E249-D249,"")</f>
        <v>813.52</v>
      </c>
      <c r="D249" s="106">
        <f>IF(Term&gt;=B249,ROUND(F248*Rate/PYR,2),"")</f>
        <v>318.02</v>
      </c>
      <c r="E249" s="106">
        <f>IF(Term&gt;=B249,-PMT,"")</f>
        <v>1131.54</v>
      </c>
      <c r="F249" s="106">
        <f>IF(Term&gt;=B249,Loan-SUM(C$10:C249),"")</f>
        <v>116609.41999999993</v>
      </c>
    </row>
    <row r="250" spans="2:6">
      <c r="B250" s="28">
        <f t="shared" si="3"/>
        <v>240</v>
      </c>
      <c r="C250" s="109">
        <f>IF(Term&gt;=B250,E250-D250,"")</f>
        <v>815.72</v>
      </c>
      <c r="D250" s="109">
        <f>IF(Term&gt;=B250,ROUND(F249*Rate/PYR,2),"")</f>
        <v>315.82</v>
      </c>
      <c r="E250" s="109">
        <f>IF(Term&gt;=B250,-PMT,"")</f>
        <v>1131.54</v>
      </c>
      <c r="F250" s="109">
        <f>IF(Term&gt;=B250,Loan-SUM(C$10:C250),"")</f>
        <v>115793.69999999992</v>
      </c>
    </row>
    <row r="251" spans="2:6">
      <c r="B251" s="111">
        <f t="shared" si="3"/>
        <v>241</v>
      </c>
      <c r="C251" s="106">
        <f>IF(Term&gt;=B251,E251-D251,"")</f>
        <v>817.93</v>
      </c>
      <c r="D251" s="106">
        <f>IF(Term&gt;=B251,ROUND(F250*Rate/PYR,2),"")</f>
        <v>313.61</v>
      </c>
      <c r="E251" s="106">
        <f>IF(Term&gt;=B251,-PMT,"")</f>
        <v>1131.54</v>
      </c>
      <c r="F251" s="106">
        <f>IF(Term&gt;=B251,Loan-SUM(C$10:C251),"")</f>
        <v>114975.76999999993</v>
      </c>
    </row>
    <row r="252" spans="2:6">
      <c r="B252" s="28">
        <f t="shared" si="3"/>
        <v>242</v>
      </c>
      <c r="C252" s="109">
        <f>IF(Term&gt;=B252,E252-D252,"")</f>
        <v>820.15</v>
      </c>
      <c r="D252" s="109">
        <f>IF(Term&gt;=B252,ROUND(F251*Rate/PYR,2),"")</f>
        <v>311.39</v>
      </c>
      <c r="E252" s="109">
        <f>IF(Term&gt;=B252,-PMT,"")</f>
        <v>1131.54</v>
      </c>
      <c r="F252" s="109">
        <f>IF(Term&gt;=B252,Loan-SUM(C$10:C252),"")</f>
        <v>114155.61999999994</v>
      </c>
    </row>
    <row r="253" spans="2:6">
      <c r="B253" s="111">
        <f t="shared" si="3"/>
        <v>243</v>
      </c>
      <c r="C253" s="106">
        <f>IF(Term&gt;=B253,E253-D253,"")</f>
        <v>822.36999999999989</v>
      </c>
      <c r="D253" s="106">
        <f>IF(Term&gt;=B253,ROUND(F252*Rate/PYR,2),"")</f>
        <v>309.17</v>
      </c>
      <c r="E253" s="106">
        <f>IF(Term&gt;=B253,-PMT,"")</f>
        <v>1131.54</v>
      </c>
      <c r="F253" s="106">
        <f>IF(Term&gt;=B253,Loan-SUM(C$10:C253),"")</f>
        <v>113333.24999999994</v>
      </c>
    </row>
    <row r="254" spans="2:6">
      <c r="B254" s="28">
        <f t="shared" si="3"/>
        <v>244</v>
      </c>
      <c r="C254" s="109">
        <f>IF(Term&gt;=B254,E254-D254,"")</f>
        <v>824.59999999999991</v>
      </c>
      <c r="D254" s="109">
        <f>IF(Term&gt;=B254,ROUND(F253*Rate/PYR,2),"")</f>
        <v>306.94</v>
      </c>
      <c r="E254" s="109">
        <f>IF(Term&gt;=B254,-PMT,"")</f>
        <v>1131.54</v>
      </c>
      <c r="F254" s="109">
        <f>IF(Term&gt;=B254,Loan-SUM(C$10:C254),"")</f>
        <v>112508.64999999994</v>
      </c>
    </row>
    <row r="255" spans="2:6">
      <c r="B255" s="111">
        <f t="shared" si="3"/>
        <v>245</v>
      </c>
      <c r="C255" s="106">
        <f>IF(Term&gt;=B255,E255-D255,"")</f>
        <v>826.82999999999993</v>
      </c>
      <c r="D255" s="106">
        <f>IF(Term&gt;=B255,ROUND(F254*Rate/PYR,2),"")</f>
        <v>304.70999999999998</v>
      </c>
      <c r="E255" s="106">
        <f>IF(Term&gt;=B255,-PMT,"")</f>
        <v>1131.54</v>
      </c>
      <c r="F255" s="106">
        <f>IF(Term&gt;=B255,Loan-SUM(C$10:C255),"")</f>
        <v>111681.81999999995</v>
      </c>
    </row>
    <row r="256" spans="2:6">
      <c r="B256" s="28">
        <f t="shared" si="3"/>
        <v>246</v>
      </c>
      <c r="C256" s="109">
        <f>IF(Term&gt;=B256,E256-D256,"")</f>
        <v>829.06999999999994</v>
      </c>
      <c r="D256" s="109">
        <f>IF(Term&gt;=B256,ROUND(F255*Rate/PYR,2),"")</f>
        <v>302.47000000000003</v>
      </c>
      <c r="E256" s="109">
        <f>IF(Term&gt;=B256,-PMT,"")</f>
        <v>1131.54</v>
      </c>
      <c r="F256" s="109">
        <f>IF(Term&gt;=B256,Loan-SUM(C$10:C256),"")</f>
        <v>110852.74999999994</v>
      </c>
    </row>
    <row r="257" spans="2:6">
      <c r="B257" s="111">
        <f t="shared" si="3"/>
        <v>247</v>
      </c>
      <c r="C257" s="106">
        <f>IF(Term&gt;=B257,E257-D257,"")</f>
        <v>831.31</v>
      </c>
      <c r="D257" s="106">
        <f>IF(Term&gt;=B257,ROUND(F256*Rate/PYR,2),"")</f>
        <v>300.23</v>
      </c>
      <c r="E257" s="106">
        <f>IF(Term&gt;=B257,-PMT,"")</f>
        <v>1131.54</v>
      </c>
      <c r="F257" s="106">
        <f>IF(Term&gt;=B257,Loan-SUM(C$10:C257),"")</f>
        <v>110021.43999999994</v>
      </c>
    </row>
    <row r="258" spans="2:6">
      <c r="B258" s="28">
        <f t="shared" si="3"/>
        <v>248</v>
      </c>
      <c r="C258" s="109">
        <f>IF(Term&gt;=B258,E258-D258,"")</f>
        <v>833.56999999999994</v>
      </c>
      <c r="D258" s="109">
        <f>IF(Term&gt;=B258,ROUND(F257*Rate/PYR,2),"")</f>
        <v>297.97000000000003</v>
      </c>
      <c r="E258" s="109">
        <f>IF(Term&gt;=B258,-PMT,"")</f>
        <v>1131.54</v>
      </c>
      <c r="F258" s="109">
        <f>IF(Term&gt;=B258,Loan-SUM(C$10:C258),"")</f>
        <v>109187.86999999994</v>
      </c>
    </row>
    <row r="259" spans="2:6">
      <c r="B259" s="111">
        <f t="shared" si="3"/>
        <v>249</v>
      </c>
      <c r="C259" s="106">
        <f>IF(Term&gt;=B259,E259-D259,"")</f>
        <v>835.81999999999994</v>
      </c>
      <c r="D259" s="106">
        <f>IF(Term&gt;=B259,ROUND(F258*Rate/PYR,2),"")</f>
        <v>295.72000000000003</v>
      </c>
      <c r="E259" s="106">
        <f>IF(Term&gt;=B259,-PMT,"")</f>
        <v>1131.54</v>
      </c>
      <c r="F259" s="106">
        <f>IF(Term&gt;=B259,Loan-SUM(C$10:C259),"")</f>
        <v>108352.04999999993</v>
      </c>
    </row>
    <row r="260" spans="2:6">
      <c r="B260" s="28">
        <f t="shared" si="3"/>
        <v>250</v>
      </c>
      <c r="C260" s="109">
        <f>IF(Term&gt;=B260,E260-D260,"")</f>
        <v>838.08999999999992</v>
      </c>
      <c r="D260" s="109">
        <f>IF(Term&gt;=B260,ROUND(F259*Rate/PYR,2),"")</f>
        <v>293.45</v>
      </c>
      <c r="E260" s="109">
        <f>IF(Term&gt;=B260,-PMT,"")</f>
        <v>1131.54</v>
      </c>
      <c r="F260" s="109">
        <f>IF(Term&gt;=B260,Loan-SUM(C$10:C260),"")</f>
        <v>107513.95999999993</v>
      </c>
    </row>
    <row r="261" spans="2:6">
      <c r="B261" s="111">
        <f t="shared" si="3"/>
        <v>251</v>
      </c>
      <c r="C261" s="106">
        <f>IF(Term&gt;=B261,E261-D261,"")</f>
        <v>840.3599999999999</v>
      </c>
      <c r="D261" s="106">
        <f>IF(Term&gt;=B261,ROUND(F260*Rate/PYR,2),"")</f>
        <v>291.18</v>
      </c>
      <c r="E261" s="106">
        <f>IF(Term&gt;=B261,-PMT,"")</f>
        <v>1131.54</v>
      </c>
      <c r="F261" s="106">
        <f>IF(Term&gt;=B261,Loan-SUM(C$10:C261),"")</f>
        <v>106673.59999999995</v>
      </c>
    </row>
    <row r="262" spans="2:6">
      <c r="B262" s="28">
        <f t="shared" si="3"/>
        <v>252</v>
      </c>
      <c r="C262" s="109">
        <f>IF(Term&gt;=B262,E262-D262,"")</f>
        <v>842.62999999999988</v>
      </c>
      <c r="D262" s="109">
        <f>IF(Term&gt;=B262,ROUND(F261*Rate/PYR,2),"")</f>
        <v>288.91000000000003</v>
      </c>
      <c r="E262" s="109">
        <f>IF(Term&gt;=B262,-PMT,"")</f>
        <v>1131.54</v>
      </c>
      <c r="F262" s="109">
        <f>IF(Term&gt;=B262,Loan-SUM(C$10:C262),"")</f>
        <v>105830.96999999994</v>
      </c>
    </row>
    <row r="263" spans="2:6">
      <c r="B263" s="111">
        <f t="shared" si="3"/>
        <v>253</v>
      </c>
      <c r="C263" s="106">
        <f>IF(Term&gt;=B263,E263-D263,"")</f>
        <v>844.91</v>
      </c>
      <c r="D263" s="106">
        <f>IF(Term&gt;=B263,ROUND(F262*Rate/PYR,2),"")</f>
        <v>286.63</v>
      </c>
      <c r="E263" s="106">
        <f>IF(Term&gt;=B263,-PMT,"")</f>
        <v>1131.54</v>
      </c>
      <c r="F263" s="106">
        <f>IF(Term&gt;=B263,Loan-SUM(C$10:C263),"")</f>
        <v>104986.05999999994</v>
      </c>
    </row>
    <row r="264" spans="2:6">
      <c r="B264" s="28">
        <f t="shared" si="3"/>
        <v>254</v>
      </c>
      <c r="C264" s="109">
        <f>IF(Term&gt;=B264,E264-D264,"")</f>
        <v>847.2</v>
      </c>
      <c r="D264" s="109">
        <f>IF(Term&gt;=B264,ROUND(F263*Rate/PYR,2),"")</f>
        <v>284.33999999999997</v>
      </c>
      <c r="E264" s="109">
        <f>IF(Term&gt;=B264,-PMT,"")</f>
        <v>1131.54</v>
      </c>
      <c r="F264" s="109">
        <f>IF(Term&gt;=B264,Loan-SUM(C$10:C264),"")</f>
        <v>104138.85999999993</v>
      </c>
    </row>
    <row r="265" spans="2:6">
      <c r="B265" s="111">
        <f t="shared" si="3"/>
        <v>255</v>
      </c>
      <c r="C265" s="106">
        <f>IF(Term&gt;=B265,E265-D265,"")</f>
        <v>849.5</v>
      </c>
      <c r="D265" s="106">
        <f>IF(Term&gt;=B265,ROUND(F264*Rate/PYR,2),"")</f>
        <v>282.04000000000002</v>
      </c>
      <c r="E265" s="106">
        <f>IF(Term&gt;=B265,-PMT,"")</f>
        <v>1131.54</v>
      </c>
      <c r="F265" s="106">
        <f>IF(Term&gt;=B265,Loan-SUM(C$10:C265),"")</f>
        <v>103289.35999999993</v>
      </c>
    </row>
    <row r="266" spans="2:6">
      <c r="B266" s="28">
        <f t="shared" si="3"/>
        <v>256</v>
      </c>
      <c r="C266" s="109">
        <f>IF(Term&gt;=B266,E266-D266,"")</f>
        <v>851.8</v>
      </c>
      <c r="D266" s="109">
        <f>IF(Term&gt;=B266,ROUND(F265*Rate/PYR,2),"")</f>
        <v>279.74</v>
      </c>
      <c r="E266" s="109">
        <f>IF(Term&gt;=B266,-PMT,"")</f>
        <v>1131.54</v>
      </c>
      <c r="F266" s="109">
        <f>IF(Term&gt;=B266,Loan-SUM(C$10:C266),"")</f>
        <v>102437.55999999994</v>
      </c>
    </row>
    <row r="267" spans="2:6">
      <c r="B267" s="111">
        <f t="shared" si="3"/>
        <v>257</v>
      </c>
      <c r="C267" s="106">
        <f>IF(Term&gt;=B267,E267-D267,"")</f>
        <v>854.09999999999991</v>
      </c>
      <c r="D267" s="106">
        <f>IF(Term&gt;=B267,ROUND(F266*Rate/PYR,2),"")</f>
        <v>277.44</v>
      </c>
      <c r="E267" s="106">
        <f>IF(Term&gt;=B267,-PMT,"")</f>
        <v>1131.54</v>
      </c>
      <c r="F267" s="106">
        <f>IF(Term&gt;=B267,Loan-SUM(C$10:C267),"")</f>
        <v>101583.45999999993</v>
      </c>
    </row>
    <row r="268" spans="2:6">
      <c r="B268" s="28">
        <f t="shared" si="3"/>
        <v>258</v>
      </c>
      <c r="C268" s="109">
        <f>IF(Term&gt;=B268,E268-D268,"")</f>
        <v>856.42</v>
      </c>
      <c r="D268" s="109">
        <f>IF(Term&gt;=B268,ROUND(F267*Rate/PYR,2),"")</f>
        <v>275.12</v>
      </c>
      <c r="E268" s="109">
        <f>IF(Term&gt;=B268,-PMT,"")</f>
        <v>1131.54</v>
      </c>
      <c r="F268" s="109">
        <f>IF(Term&gt;=B268,Loan-SUM(C$10:C268),"")</f>
        <v>100727.03999999992</v>
      </c>
    </row>
    <row r="269" spans="2:6">
      <c r="B269" s="111">
        <f t="shared" ref="B269:B332" si="4">B268+1</f>
        <v>259</v>
      </c>
      <c r="C269" s="106">
        <f>IF(Term&gt;=B269,E269-D269,"")</f>
        <v>858.74</v>
      </c>
      <c r="D269" s="106">
        <f>IF(Term&gt;=B269,ROUND(F268*Rate/PYR,2),"")</f>
        <v>272.8</v>
      </c>
      <c r="E269" s="106">
        <f>IF(Term&gt;=B269,-PMT,"")</f>
        <v>1131.54</v>
      </c>
      <c r="F269" s="106">
        <f>IF(Term&gt;=B269,Loan-SUM(C$10:C269),"")</f>
        <v>99868.29999999993</v>
      </c>
    </row>
    <row r="270" spans="2:6">
      <c r="B270" s="28">
        <f t="shared" si="4"/>
        <v>260</v>
      </c>
      <c r="C270" s="109">
        <f>IF(Term&gt;=B270,E270-D270,"")</f>
        <v>861.06</v>
      </c>
      <c r="D270" s="109">
        <f>IF(Term&gt;=B270,ROUND(F269*Rate/PYR,2),"")</f>
        <v>270.48</v>
      </c>
      <c r="E270" s="109">
        <f>IF(Term&gt;=B270,-PMT,"")</f>
        <v>1131.54</v>
      </c>
      <c r="F270" s="109">
        <f>IF(Term&gt;=B270,Loan-SUM(C$10:C270),"")</f>
        <v>99007.239999999932</v>
      </c>
    </row>
    <row r="271" spans="2:6">
      <c r="B271" s="111">
        <f t="shared" si="4"/>
        <v>261</v>
      </c>
      <c r="C271" s="106">
        <f>IF(Term&gt;=B271,E271-D271,"")</f>
        <v>863.4</v>
      </c>
      <c r="D271" s="106">
        <f>IF(Term&gt;=B271,ROUND(F270*Rate/PYR,2),"")</f>
        <v>268.14</v>
      </c>
      <c r="E271" s="106">
        <f>IF(Term&gt;=B271,-PMT,"")</f>
        <v>1131.54</v>
      </c>
      <c r="F271" s="106">
        <f>IF(Term&gt;=B271,Loan-SUM(C$10:C271),"")</f>
        <v>98143.839999999938</v>
      </c>
    </row>
    <row r="272" spans="2:6">
      <c r="B272" s="28">
        <f t="shared" si="4"/>
        <v>262</v>
      </c>
      <c r="C272" s="109">
        <f>IF(Term&gt;=B272,E272-D272,"")</f>
        <v>865.73</v>
      </c>
      <c r="D272" s="109">
        <f>IF(Term&gt;=B272,ROUND(F271*Rate/PYR,2),"")</f>
        <v>265.81</v>
      </c>
      <c r="E272" s="109">
        <f>IF(Term&gt;=B272,-PMT,"")</f>
        <v>1131.54</v>
      </c>
      <c r="F272" s="109">
        <f>IF(Term&gt;=B272,Loan-SUM(C$10:C272),"")</f>
        <v>97278.109999999928</v>
      </c>
    </row>
    <row r="273" spans="2:6">
      <c r="B273" s="111">
        <f t="shared" si="4"/>
        <v>263</v>
      </c>
      <c r="C273" s="106">
        <f>IF(Term&gt;=B273,E273-D273,"")</f>
        <v>868.07999999999993</v>
      </c>
      <c r="D273" s="106">
        <f>IF(Term&gt;=B273,ROUND(F272*Rate/PYR,2),"")</f>
        <v>263.45999999999998</v>
      </c>
      <c r="E273" s="106">
        <f>IF(Term&gt;=B273,-PMT,"")</f>
        <v>1131.54</v>
      </c>
      <c r="F273" s="106">
        <f>IF(Term&gt;=B273,Loan-SUM(C$10:C273),"")</f>
        <v>96410.029999999941</v>
      </c>
    </row>
    <row r="274" spans="2:6">
      <c r="B274" s="28">
        <f t="shared" si="4"/>
        <v>264</v>
      </c>
      <c r="C274" s="109">
        <f>IF(Term&gt;=B274,E274-D274,"")</f>
        <v>870.43</v>
      </c>
      <c r="D274" s="109">
        <f>IF(Term&gt;=B274,ROUND(F273*Rate/PYR,2),"")</f>
        <v>261.11</v>
      </c>
      <c r="E274" s="109">
        <f>IF(Term&gt;=B274,-PMT,"")</f>
        <v>1131.54</v>
      </c>
      <c r="F274" s="109">
        <f>IF(Term&gt;=B274,Loan-SUM(C$10:C274),"")</f>
        <v>95539.599999999948</v>
      </c>
    </row>
    <row r="275" spans="2:6">
      <c r="B275" s="111">
        <f t="shared" si="4"/>
        <v>265</v>
      </c>
      <c r="C275" s="106">
        <f>IF(Term&gt;=B275,E275-D275,"")</f>
        <v>872.79</v>
      </c>
      <c r="D275" s="106">
        <f>IF(Term&gt;=B275,ROUND(F274*Rate/PYR,2),"")</f>
        <v>258.75</v>
      </c>
      <c r="E275" s="106">
        <f>IF(Term&gt;=B275,-PMT,"")</f>
        <v>1131.54</v>
      </c>
      <c r="F275" s="106">
        <f>IF(Term&gt;=B275,Loan-SUM(C$10:C275),"")</f>
        <v>94666.809999999939</v>
      </c>
    </row>
    <row r="276" spans="2:6">
      <c r="B276" s="28">
        <f t="shared" si="4"/>
        <v>266</v>
      </c>
      <c r="C276" s="109">
        <f>IF(Term&gt;=B276,E276-D276,"")</f>
        <v>875.15</v>
      </c>
      <c r="D276" s="109">
        <f>IF(Term&gt;=B276,ROUND(F275*Rate/PYR,2),"")</f>
        <v>256.39</v>
      </c>
      <c r="E276" s="109">
        <f>IF(Term&gt;=B276,-PMT,"")</f>
        <v>1131.54</v>
      </c>
      <c r="F276" s="109">
        <f>IF(Term&gt;=B276,Loan-SUM(C$10:C276),"")</f>
        <v>93791.659999999945</v>
      </c>
    </row>
    <row r="277" spans="2:6">
      <c r="B277" s="111">
        <f t="shared" si="4"/>
        <v>267</v>
      </c>
      <c r="C277" s="106">
        <f>IF(Term&gt;=B277,E277-D277,"")</f>
        <v>877.52</v>
      </c>
      <c r="D277" s="106">
        <f>IF(Term&gt;=B277,ROUND(F276*Rate/PYR,2),"")</f>
        <v>254.02</v>
      </c>
      <c r="E277" s="106">
        <f>IF(Term&gt;=B277,-PMT,"")</f>
        <v>1131.54</v>
      </c>
      <c r="F277" s="106">
        <f>IF(Term&gt;=B277,Loan-SUM(C$10:C277),"")</f>
        <v>92914.139999999956</v>
      </c>
    </row>
    <row r="278" spans="2:6">
      <c r="B278" s="28">
        <f t="shared" si="4"/>
        <v>268</v>
      </c>
      <c r="C278" s="109">
        <f>IF(Term&gt;=B278,E278-D278,"")</f>
        <v>879.9</v>
      </c>
      <c r="D278" s="109">
        <f>IF(Term&gt;=B278,ROUND(F277*Rate/PYR,2),"")</f>
        <v>251.64</v>
      </c>
      <c r="E278" s="109">
        <f>IF(Term&gt;=B278,-PMT,"")</f>
        <v>1131.54</v>
      </c>
      <c r="F278" s="109">
        <f>IF(Term&gt;=B278,Loan-SUM(C$10:C278),"")</f>
        <v>92034.239999999962</v>
      </c>
    </row>
    <row r="279" spans="2:6">
      <c r="B279" s="111">
        <f t="shared" si="4"/>
        <v>269</v>
      </c>
      <c r="C279" s="106">
        <f>IF(Term&gt;=B279,E279-D279,"")</f>
        <v>882.28</v>
      </c>
      <c r="D279" s="106">
        <f>IF(Term&gt;=B279,ROUND(F278*Rate/PYR,2),"")</f>
        <v>249.26</v>
      </c>
      <c r="E279" s="106">
        <f>IF(Term&gt;=B279,-PMT,"")</f>
        <v>1131.54</v>
      </c>
      <c r="F279" s="106">
        <f>IF(Term&gt;=B279,Loan-SUM(C$10:C279),"")</f>
        <v>91151.959999999963</v>
      </c>
    </row>
    <row r="280" spans="2:6">
      <c r="B280" s="28">
        <f t="shared" si="4"/>
        <v>270</v>
      </c>
      <c r="C280" s="109">
        <f>IF(Term&gt;=B280,E280-D280,"")</f>
        <v>884.67</v>
      </c>
      <c r="D280" s="109">
        <f>IF(Term&gt;=B280,ROUND(F279*Rate/PYR,2),"")</f>
        <v>246.87</v>
      </c>
      <c r="E280" s="109">
        <f>IF(Term&gt;=B280,-PMT,"")</f>
        <v>1131.54</v>
      </c>
      <c r="F280" s="109">
        <f>IF(Term&gt;=B280,Loan-SUM(C$10:C280),"")</f>
        <v>90267.28999999995</v>
      </c>
    </row>
    <row r="281" spans="2:6">
      <c r="B281" s="111">
        <f t="shared" si="4"/>
        <v>271</v>
      </c>
      <c r="C281" s="106">
        <f>IF(Term&gt;=B281,E281-D281,"")</f>
        <v>887.06999999999994</v>
      </c>
      <c r="D281" s="106">
        <f>IF(Term&gt;=B281,ROUND(F280*Rate/PYR,2),"")</f>
        <v>244.47</v>
      </c>
      <c r="E281" s="106">
        <f>IF(Term&gt;=B281,-PMT,"")</f>
        <v>1131.54</v>
      </c>
      <c r="F281" s="106">
        <f>IF(Term&gt;=B281,Loan-SUM(C$10:C281),"")</f>
        <v>89380.219999999943</v>
      </c>
    </row>
    <row r="282" spans="2:6">
      <c r="B282" s="28">
        <f t="shared" si="4"/>
        <v>272</v>
      </c>
      <c r="C282" s="109">
        <f>IF(Term&gt;=B282,E282-D282,"")</f>
        <v>889.47</v>
      </c>
      <c r="D282" s="109">
        <f>IF(Term&gt;=B282,ROUND(F281*Rate/PYR,2),"")</f>
        <v>242.07</v>
      </c>
      <c r="E282" s="109">
        <f>IF(Term&gt;=B282,-PMT,"")</f>
        <v>1131.54</v>
      </c>
      <c r="F282" s="109">
        <f>IF(Term&gt;=B282,Loan-SUM(C$10:C282),"")</f>
        <v>88490.749999999942</v>
      </c>
    </row>
    <row r="283" spans="2:6">
      <c r="B283" s="111">
        <f t="shared" si="4"/>
        <v>273</v>
      </c>
      <c r="C283" s="106">
        <f>IF(Term&gt;=B283,E283-D283,"")</f>
        <v>891.88</v>
      </c>
      <c r="D283" s="106">
        <f>IF(Term&gt;=B283,ROUND(F282*Rate/PYR,2),"")</f>
        <v>239.66</v>
      </c>
      <c r="E283" s="106">
        <f>IF(Term&gt;=B283,-PMT,"")</f>
        <v>1131.54</v>
      </c>
      <c r="F283" s="106">
        <f>IF(Term&gt;=B283,Loan-SUM(C$10:C283),"")</f>
        <v>87598.869999999937</v>
      </c>
    </row>
    <row r="284" spans="2:6">
      <c r="B284" s="28">
        <f t="shared" si="4"/>
        <v>274</v>
      </c>
      <c r="C284" s="109">
        <f>IF(Term&gt;=B284,E284-D284,"")</f>
        <v>894.29</v>
      </c>
      <c r="D284" s="109">
        <f>IF(Term&gt;=B284,ROUND(F283*Rate/PYR,2),"")</f>
        <v>237.25</v>
      </c>
      <c r="E284" s="109">
        <f>IF(Term&gt;=B284,-PMT,"")</f>
        <v>1131.54</v>
      </c>
      <c r="F284" s="109">
        <f>IF(Term&gt;=B284,Loan-SUM(C$10:C284),"")</f>
        <v>86704.579999999929</v>
      </c>
    </row>
    <row r="285" spans="2:6">
      <c r="B285" s="111">
        <f t="shared" si="4"/>
        <v>275</v>
      </c>
      <c r="C285" s="106">
        <f>IF(Term&gt;=B285,E285-D285,"")</f>
        <v>896.72</v>
      </c>
      <c r="D285" s="106">
        <f>IF(Term&gt;=B285,ROUND(F284*Rate/PYR,2),"")</f>
        <v>234.82</v>
      </c>
      <c r="E285" s="106">
        <f>IF(Term&gt;=B285,-PMT,"")</f>
        <v>1131.54</v>
      </c>
      <c r="F285" s="106">
        <f>IF(Term&gt;=B285,Loan-SUM(C$10:C285),"")</f>
        <v>85807.859999999928</v>
      </c>
    </row>
    <row r="286" spans="2:6">
      <c r="B286" s="28">
        <f t="shared" si="4"/>
        <v>276</v>
      </c>
      <c r="C286" s="109">
        <f>IF(Term&gt;=B286,E286-D286,"")</f>
        <v>899.14</v>
      </c>
      <c r="D286" s="109">
        <f>IF(Term&gt;=B286,ROUND(F285*Rate/PYR,2),"")</f>
        <v>232.4</v>
      </c>
      <c r="E286" s="109">
        <f>IF(Term&gt;=B286,-PMT,"")</f>
        <v>1131.54</v>
      </c>
      <c r="F286" s="109">
        <f>IF(Term&gt;=B286,Loan-SUM(C$10:C286),"")</f>
        <v>84908.719999999914</v>
      </c>
    </row>
    <row r="287" spans="2:6">
      <c r="B287" s="111">
        <f t="shared" si="4"/>
        <v>277</v>
      </c>
      <c r="C287" s="106">
        <f>IF(Term&gt;=B287,E287-D287,"")</f>
        <v>901.57999999999993</v>
      </c>
      <c r="D287" s="106">
        <f>IF(Term&gt;=B287,ROUND(F286*Rate/PYR,2),"")</f>
        <v>229.96</v>
      </c>
      <c r="E287" s="106">
        <f>IF(Term&gt;=B287,-PMT,"")</f>
        <v>1131.54</v>
      </c>
      <c r="F287" s="106">
        <f>IF(Term&gt;=B287,Loan-SUM(C$10:C287),"")</f>
        <v>84007.139999999927</v>
      </c>
    </row>
    <row r="288" spans="2:6">
      <c r="B288" s="28">
        <f t="shared" si="4"/>
        <v>278</v>
      </c>
      <c r="C288" s="109">
        <f>IF(Term&gt;=B288,E288-D288,"")</f>
        <v>904.02</v>
      </c>
      <c r="D288" s="109">
        <f>IF(Term&gt;=B288,ROUND(F287*Rate/PYR,2),"")</f>
        <v>227.52</v>
      </c>
      <c r="E288" s="109">
        <f>IF(Term&gt;=B288,-PMT,"")</f>
        <v>1131.54</v>
      </c>
      <c r="F288" s="109">
        <f>IF(Term&gt;=B288,Loan-SUM(C$10:C288),"")</f>
        <v>83103.119999999937</v>
      </c>
    </row>
    <row r="289" spans="2:6">
      <c r="B289" s="111">
        <f t="shared" si="4"/>
        <v>279</v>
      </c>
      <c r="C289" s="106">
        <f>IF(Term&gt;=B289,E289-D289,"")</f>
        <v>906.47</v>
      </c>
      <c r="D289" s="106">
        <f>IF(Term&gt;=B289,ROUND(F288*Rate/PYR,2),"")</f>
        <v>225.07</v>
      </c>
      <c r="E289" s="106">
        <f>IF(Term&gt;=B289,-PMT,"")</f>
        <v>1131.54</v>
      </c>
      <c r="F289" s="106">
        <f>IF(Term&gt;=B289,Loan-SUM(C$10:C289),"")</f>
        <v>82196.649999999936</v>
      </c>
    </row>
    <row r="290" spans="2:6">
      <c r="B290" s="28">
        <f t="shared" si="4"/>
        <v>280</v>
      </c>
      <c r="C290" s="109">
        <f>IF(Term&gt;=B290,E290-D290,"")</f>
        <v>908.92</v>
      </c>
      <c r="D290" s="109">
        <f>IF(Term&gt;=B290,ROUND(F289*Rate/PYR,2),"")</f>
        <v>222.62</v>
      </c>
      <c r="E290" s="109">
        <f>IF(Term&gt;=B290,-PMT,"")</f>
        <v>1131.54</v>
      </c>
      <c r="F290" s="109">
        <f>IF(Term&gt;=B290,Loan-SUM(C$10:C290),"")</f>
        <v>81287.729999999923</v>
      </c>
    </row>
    <row r="291" spans="2:6">
      <c r="B291" s="111">
        <f t="shared" si="4"/>
        <v>281</v>
      </c>
      <c r="C291" s="106">
        <f>IF(Term&gt;=B291,E291-D291,"")</f>
        <v>911.39</v>
      </c>
      <c r="D291" s="106">
        <f>IF(Term&gt;=B291,ROUND(F290*Rate/PYR,2),"")</f>
        <v>220.15</v>
      </c>
      <c r="E291" s="106">
        <f>IF(Term&gt;=B291,-PMT,"")</f>
        <v>1131.54</v>
      </c>
      <c r="F291" s="106">
        <f>IF(Term&gt;=B291,Loan-SUM(C$10:C291),"")</f>
        <v>80376.339999999909</v>
      </c>
    </row>
    <row r="292" spans="2:6">
      <c r="B292" s="28">
        <f t="shared" si="4"/>
        <v>282</v>
      </c>
      <c r="C292" s="109">
        <f>IF(Term&gt;=B292,E292-D292,"")</f>
        <v>913.84999999999991</v>
      </c>
      <c r="D292" s="109">
        <f>IF(Term&gt;=B292,ROUND(F291*Rate/PYR,2),"")</f>
        <v>217.69</v>
      </c>
      <c r="E292" s="109">
        <f>IF(Term&gt;=B292,-PMT,"")</f>
        <v>1131.54</v>
      </c>
      <c r="F292" s="109">
        <f>IF(Term&gt;=B292,Loan-SUM(C$10:C292),"")</f>
        <v>79462.489999999903</v>
      </c>
    </row>
    <row r="293" spans="2:6">
      <c r="B293" s="111">
        <f t="shared" si="4"/>
        <v>283</v>
      </c>
      <c r="C293" s="106">
        <f>IF(Term&gt;=B293,E293-D293,"")</f>
        <v>916.32999999999993</v>
      </c>
      <c r="D293" s="106">
        <f>IF(Term&gt;=B293,ROUND(F292*Rate/PYR,2),"")</f>
        <v>215.21</v>
      </c>
      <c r="E293" s="106">
        <f>IF(Term&gt;=B293,-PMT,"")</f>
        <v>1131.54</v>
      </c>
      <c r="F293" s="106">
        <f>IF(Term&gt;=B293,Loan-SUM(C$10:C293),"")</f>
        <v>78546.159999999916</v>
      </c>
    </row>
    <row r="294" spans="2:6">
      <c r="B294" s="28">
        <f t="shared" si="4"/>
        <v>284</v>
      </c>
      <c r="C294" s="109">
        <f>IF(Term&gt;=B294,E294-D294,"")</f>
        <v>918.81</v>
      </c>
      <c r="D294" s="109">
        <f>IF(Term&gt;=B294,ROUND(F293*Rate/PYR,2),"")</f>
        <v>212.73</v>
      </c>
      <c r="E294" s="109">
        <f>IF(Term&gt;=B294,-PMT,"")</f>
        <v>1131.54</v>
      </c>
      <c r="F294" s="109">
        <f>IF(Term&gt;=B294,Loan-SUM(C$10:C294),"")</f>
        <v>77627.349999999919</v>
      </c>
    </row>
    <row r="295" spans="2:6">
      <c r="B295" s="111">
        <f t="shared" si="4"/>
        <v>285</v>
      </c>
      <c r="C295" s="106">
        <f>IF(Term&gt;=B295,E295-D295,"")</f>
        <v>921.3</v>
      </c>
      <c r="D295" s="106">
        <f>IF(Term&gt;=B295,ROUND(F294*Rate/PYR,2),"")</f>
        <v>210.24</v>
      </c>
      <c r="E295" s="106">
        <f>IF(Term&gt;=B295,-PMT,"")</f>
        <v>1131.54</v>
      </c>
      <c r="F295" s="106">
        <f>IF(Term&gt;=B295,Loan-SUM(C$10:C295),"")</f>
        <v>76706.04999999993</v>
      </c>
    </row>
    <row r="296" spans="2:6">
      <c r="B296" s="28">
        <f t="shared" si="4"/>
        <v>286</v>
      </c>
      <c r="C296" s="109">
        <f>IF(Term&gt;=B296,E296-D296,"")</f>
        <v>923.79</v>
      </c>
      <c r="D296" s="109">
        <f>IF(Term&gt;=B296,ROUND(F295*Rate/PYR,2),"")</f>
        <v>207.75</v>
      </c>
      <c r="E296" s="109">
        <f>IF(Term&gt;=B296,-PMT,"")</f>
        <v>1131.54</v>
      </c>
      <c r="F296" s="109">
        <f>IF(Term&gt;=B296,Loan-SUM(C$10:C296),"")</f>
        <v>75782.259999999922</v>
      </c>
    </row>
    <row r="297" spans="2:6">
      <c r="B297" s="111">
        <f t="shared" si="4"/>
        <v>287</v>
      </c>
      <c r="C297" s="106">
        <f>IF(Term&gt;=B297,E297-D297,"")</f>
        <v>926.3</v>
      </c>
      <c r="D297" s="106">
        <f>IF(Term&gt;=B297,ROUND(F296*Rate/PYR,2),"")</f>
        <v>205.24</v>
      </c>
      <c r="E297" s="106">
        <f>IF(Term&gt;=B297,-PMT,"")</f>
        <v>1131.54</v>
      </c>
      <c r="F297" s="106">
        <f>IF(Term&gt;=B297,Loan-SUM(C$10:C297),"")</f>
        <v>74855.959999999934</v>
      </c>
    </row>
    <row r="298" spans="2:6">
      <c r="B298" s="28">
        <f t="shared" si="4"/>
        <v>288</v>
      </c>
      <c r="C298" s="109">
        <f>IF(Term&gt;=B298,E298-D298,"")</f>
        <v>928.81</v>
      </c>
      <c r="D298" s="109">
        <f>IF(Term&gt;=B298,ROUND(F297*Rate/PYR,2),"")</f>
        <v>202.73</v>
      </c>
      <c r="E298" s="109">
        <f>IF(Term&gt;=B298,-PMT,"")</f>
        <v>1131.54</v>
      </c>
      <c r="F298" s="109">
        <f>IF(Term&gt;=B298,Loan-SUM(C$10:C298),"")</f>
        <v>73927.149999999936</v>
      </c>
    </row>
    <row r="299" spans="2:6">
      <c r="B299" s="111">
        <f t="shared" si="4"/>
        <v>289</v>
      </c>
      <c r="C299" s="106">
        <f>IF(Term&gt;=B299,E299-D299,"")</f>
        <v>931.31999999999994</v>
      </c>
      <c r="D299" s="106">
        <f>IF(Term&gt;=B299,ROUND(F298*Rate/PYR,2),"")</f>
        <v>200.22</v>
      </c>
      <c r="E299" s="106">
        <f>IF(Term&gt;=B299,-PMT,"")</f>
        <v>1131.54</v>
      </c>
      <c r="F299" s="106">
        <f>IF(Term&gt;=B299,Loan-SUM(C$10:C299),"")</f>
        <v>72995.829999999929</v>
      </c>
    </row>
    <row r="300" spans="2:6">
      <c r="B300" s="28">
        <f t="shared" si="4"/>
        <v>290</v>
      </c>
      <c r="C300" s="109">
        <f>IF(Term&gt;=B300,E300-D300,"")</f>
        <v>933.83999999999992</v>
      </c>
      <c r="D300" s="109">
        <f>IF(Term&gt;=B300,ROUND(F299*Rate/PYR,2),"")</f>
        <v>197.7</v>
      </c>
      <c r="E300" s="109">
        <f>IF(Term&gt;=B300,-PMT,"")</f>
        <v>1131.54</v>
      </c>
      <c r="F300" s="109">
        <f>IF(Term&gt;=B300,Loan-SUM(C$10:C300),"")</f>
        <v>72061.989999999932</v>
      </c>
    </row>
    <row r="301" spans="2:6">
      <c r="B301" s="111">
        <f t="shared" si="4"/>
        <v>291</v>
      </c>
      <c r="C301" s="106">
        <f>IF(Term&gt;=B301,E301-D301,"")</f>
        <v>936.37</v>
      </c>
      <c r="D301" s="106">
        <f>IF(Term&gt;=B301,ROUND(F300*Rate/PYR,2),"")</f>
        <v>195.17</v>
      </c>
      <c r="E301" s="106">
        <f>IF(Term&gt;=B301,-PMT,"")</f>
        <v>1131.54</v>
      </c>
      <c r="F301" s="106">
        <f>IF(Term&gt;=B301,Loan-SUM(C$10:C301),"")</f>
        <v>71125.619999999937</v>
      </c>
    </row>
    <row r="302" spans="2:6">
      <c r="B302" s="28">
        <f t="shared" si="4"/>
        <v>292</v>
      </c>
      <c r="C302" s="109">
        <f>IF(Term&gt;=B302,E302-D302,"")</f>
        <v>938.91</v>
      </c>
      <c r="D302" s="109">
        <f>IF(Term&gt;=B302,ROUND(F301*Rate/PYR,2),"")</f>
        <v>192.63</v>
      </c>
      <c r="E302" s="109">
        <f>IF(Term&gt;=B302,-PMT,"")</f>
        <v>1131.54</v>
      </c>
      <c r="F302" s="109">
        <f>IF(Term&gt;=B302,Loan-SUM(C$10:C302),"")</f>
        <v>70186.709999999934</v>
      </c>
    </row>
    <row r="303" spans="2:6">
      <c r="B303" s="111">
        <f t="shared" si="4"/>
        <v>293</v>
      </c>
      <c r="C303" s="106">
        <f>IF(Term&gt;=B303,E303-D303,"")</f>
        <v>941.44999999999993</v>
      </c>
      <c r="D303" s="106">
        <f>IF(Term&gt;=B303,ROUND(F302*Rate/PYR,2),"")</f>
        <v>190.09</v>
      </c>
      <c r="E303" s="106">
        <f>IF(Term&gt;=B303,-PMT,"")</f>
        <v>1131.54</v>
      </c>
      <c r="F303" s="106">
        <f>IF(Term&gt;=B303,Loan-SUM(C$10:C303),"")</f>
        <v>69245.259999999922</v>
      </c>
    </row>
    <row r="304" spans="2:6">
      <c r="B304" s="28">
        <f t="shared" si="4"/>
        <v>294</v>
      </c>
      <c r="C304" s="109">
        <f>IF(Term&gt;=B304,E304-D304,"")</f>
        <v>944</v>
      </c>
      <c r="D304" s="109">
        <f>IF(Term&gt;=B304,ROUND(F303*Rate/PYR,2),"")</f>
        <v>187.54</v>
      </c>
      <c r="E304" s="109">
        <f>IF(Term&gt;=B304,-PMT,"")</f>
        <v>1131.54</v>
      </c>
      <c r="F304" s="109">
        <f>IF(Term&gt;=B304,Loan-SUM(C$10:C304),"")</f>
        <v>68301.259999999922</v>
      </c>
    </row>
    <row r="305" spans="2:6">
      <c r="B305" s="111">
        <f t="shared" si="4"/>
        <v>295</v>
      </c>
      <c r="C305" s="106">
        <f>IF(Term&gt;=B305,E305-D305,"")</f>
        <v>946.56</v>
      </c>
      <c r="D305" s="106">
        <f>IF(Term&gt;=B305,ROUND(F304*Rate/PYR,2),"")</f>
        <v>184.98</v>
      </c>
      <c r="E305" s="106">
        <f>IF(Term&gt;=B305,-PMT,"")</f>
        <v>1131.54</v>
      </c>
      <c r="F305" s="106">
        <f>IF(Term&gt;=B305,Loan-SUM(C$10:C305),"")</f>
        <v>67354.699999999924</v>
      </c>
    </row>
    <row r="306" spans="2:6">
      <c r="B306" s="28">
        <f t="shared" si="4"/>
        <v>296</v>
      </c>
      <c r="C306" s="109">
        <f>IF(Term&gt;=B306,E306-D306,"")</f>
        <v>949.12</v>
      </c>
      <c r="D306" s="109">
        <f>IF(Term&gt;=B306,ROUND(F305*Rate/PYR,2),"")</f>
        <v>182.42</v>
      </c>
      <c r="E306" s="109">
        <f>IF(Term&gt;=B306,-PMT,"")</f>
        <v>1131.54</v>
      </c>
      <c r="F306" s="109">
        <f>IF(Term&gt;=B306,Loan-SUM(C$10:C306),"")</f>
        <v>66405.579999999929</v>
      </c>
    </row>
    <row r="307" spans="2:6">
      <c r="B307" s="111">
        <f t="shared" si="4"/>
        <v>297</v>
      </c>
      <c r="C307" s="106">
        <f>IF(Term&gt;=B307,E307-D307,"")</f>
        <v>951.68999999999994</v>
      </c>
      <c r="D307" s="106">
        <f>IF(Term&gt;=B307,ROUND(F306*Rate/PYR,2),"")</f>
        <v>179.85</v>
      </c>
      <c r="E307" s="106">
        <f>IF(Term&gt;=B307,-PMT,"")</f>
        <v>1131.54</v>
      </c>
      <c r="F307" s="106">
        <f>IF(Term&gt;=B307,Loan-SUM(C$10:C307),"")</f>
        <v>65453.889999999927</v>
      </c>
    </row>
    <row r="308" spans="2:6">
      <c r="B308" s="28">
        <f t="shared" si="4"/>
        <v>298</v>
      </c>
      <c r="C308" s="109">
        <f>IF(Term&gt;=B308,E308-D308,"")</f>
        <v>954.27</v>
      </c>
      <c r="D308" s="109">
        <f>IF(Term&gt;=B308,ROUND(F307*Rate/PYR,2),"")</f>
        <v>177.27</v>
      </c>
      <c r="E308" s="109">
        <f>IF(Term&gt;=B308,-PMT,"")</f>
        <v>1131.54</v>
      </c>
      <c r="F308" s="109">
        <f>IF(Term&gt;=B308,Loan-SUM(C$10:C308),"")</f>
        <v>64499.619999999937</v>
      </c>
    </row>
    <row r="309" spans="2:6">
      <c r="B309" s="111">
        <f t="shared" si="4"/>
        <v>299</v>
      </c>
      <c r="C309" s="106">
        <f>IF(Term&gt;=B309,E309-D309,"")</f>
        <v>956.84999999999991</v>
      </c>
      <c r="D309" s="106">
        <f>IF(Term&gt;=B309,ROUND(F308*Rate/PYR,2),"")</f>
        <v>174.69</v>
      </c>
      <c r="E309" s="106">
        <f>IF(Term&gt;=B309,-PMT,"")</f>
        <v>1131.54</v>
      </c>
      <c r="F309" s="106">
        <f>IF(Term&gt;=B309,Loan-SUM(C$10:C309),"")</f>
        <v>63542.769999999931</v>
      </c>
    </row>
    <row r="310" spans="2:6">
      <c r="B310" s="28">
        <f t="shared" si="4"/>
        <v>300</v>
      </c>
      <c r="C310" s="109">
        <f>IF(Term&gt;=B310,E310-D310,"")</f>
        <v>959.43999999999994</v>
      </c>
      <c r="D310" s="109">
        <f>IF(Term&gt;=B310,ROUND(F309*Rate/PYR,2),"")</f>
        <v>172.1</v>
      </c>
      <c r="E310" s="109">
        <f>IF(Term&gt;=B310,-PMT,"")</f>
        <v>1131.54</v>
      </c>
      <c r="F310" s="109">
        <f>IF(Term&gt;=B310,Loan-SUM(C$10:C310),"")</f>
        <v>62583.329999999929</v>
      </c>
    </row>
    <row r="311" spans="2:6">
      <c r="B311" s="111">
        <f t="shared" si="4"/>
        <v>301</v>
      </c>
      <c r="C311" s="106">
        <f>IF(Term&gt;=B311,E311-D311,"")</f>
        <v>962.04</v>
      </c>
      <c r="D311" s="106">
        <f>IF(Term&gt;=B311,ROUND(F310*Rate/PYR,2),"")</f>
        <v>169.5</v>
      </c>
      <c r="E311" s="106">
        <f>IF(Term&gt;=B311,-PMT,"")</f>
        <v>1131.54</v>
      </c>
      <c r="F311" s="106">
        <f>IF(Term&gt;=B311,Loan-SUM(C$10:C311),"")</f>
        <v>61621.289999999921</v>
      </c>
    </row>
    <row r="312" spans="2:6">
      <c r="B312" s="28">
        <f t="shared" si="4"/>
        <v>302</v>
      </c>
      <c r="C312" s="109">
        <f>IF(Term&gt;=B312,E312-D312,"")</f>
        <v>964.65</v>
      </c>
      <c r="D312" s="109">
        <f>IF(Term&gt;=B312,ROUND(F311*Rate/PYR,2),"")</f>
        <v>166.89</v>
      </c>
      <c r="E312" s="109">
        <f>IF(Term&gt;=B312,-PMT,"")</f>
        <v>1131.54</v>
      </c>
      <c r="F312" s="109">
        <f>IF(Term&gt;=B312,Loan-SUM(C$10:C312),"")</f>
        <v>60656.639999999927</v>
      </c>
    </row>
    <row r="313" spans="2:6">
      <c r="B313" s="111">
        <f t="shared" si="4"/>
        <v>303</v>
      </c>
      <c r="C313" s="106">
        <f>IF(Term&gt;=B313,E313-D313,"")</f>
        <v>967.26</v>
      </c>
      <c r="D313" s="106">
        <f>IF(Term&gt;=B313,ROUND(F312*Rate/PYR,2),"")</f>
        <v>164.28</v>
      </c>
      <c r="E313" s="106">
        <f>IF(Term&gt;=B313,-PMT,"")</f>
        <v>1131.54</v>
      </c>
      <c r="F313" s="106">
        <f>IF(Term&gt;=B313,Loan-SUM(C$10:C313),"")</f>
        <v>59689.379999999917</v>
      </c>
    </row>
    <row r="314" spans="2:6">
      <c r="B314" s="28">
        <f t="shared" si="4"/>
        <v>304</v>
      </c>
      <c r="C314" s="109">
        <f>IF(Term&gt;=B314,E314-D314,"")</f>
        <v>969.88</v>
      </c>
      <c r="D314" s="109">
        <f>IF(Term&gt;=B314,ROUND(F313*Rate/PYR,2),"")</f>
        <v>161.66</v>
      </c>
      <c r="E314" s="109">
        <f>IF(Term&gt;=B314,-PMT,"")</f>
        <v>1131.54</v>
      </c>
      <c r="F314" s="109">
        <f>IF(Term&gt;=B314,Loan-SUM(C$10:C314),"")</f>
        <v>58719.499999999913</v>
      </c>
    </row>
    <row r="315" spans="2:6">
      <c r="B315" s="111">
        <f t="shared" si="4"/>
        <v>305</v>
      </c>
      <c r="C315" s="106">
        <f>IF(Term&gt;=B315,E315-D315,"")</f>
        <v>972.51</v>
      </c>
      <c r="D315" s="106">
        <f>IF(Term&gt;=B315,ROUND(F314*Rate/PYR,2),"")</f>
        <v>159.03</v>
      </c>
      <c r="E315" s="106">
        <f>IF(Term&gt;=B315,-PMT,"")</f>
        <v>1131.54</v>
      </c>
      <c r="F315" s="106">
        <f>IF(Term&gt;=B315,Loan-SUM(C$10:C315),"")</f>
        <v>57746.989999999903</v>
      </c>
    </row>
    <row r="316" spans="2:6">
      <c r="B316" s="28">
        <f t="shared" si="4"/>
        <v>306</v>
      </c>
      <c r="C316" s="109">
        <f>IF(Term&gt;=B316,E316-D316,"")</f>
        <v>975.14</v>
      </c>
      <c r="D316" s="109">
        <f>IF(Term&gt;=B316,ROUND(F315*Rate/PYR,2),"")</f>
        <v>156.4</v>
      </c>
      <c r="E316" s="109">
        <f>IF(Term&gt;=B316,-PMT,"")</f>
        <v>1131.54</v>
      </c>
      <c r="F316" s="109">
        <f>IF(Term&gt;=B316,Loan-SUM(C$10:C316),"")</f>
        <v>56771.849999999889</v>
      </c>
    </row>
    <row r="317" spans="2:6">
      <c r="B317" s="111">
        <f t="shared" si="4"/>
        <v>307</v>
      </c>
      <c r="C317" s="106">
        <f>IF(Term&gt;=B317,E317-D317,"")</f>
        <v>977.78</v>
      </c>
      <c r="D317" s="106">
        <f>IF(Term&gt;=B317,ROUND(F316*Rate/PYR,2),"")</f>
        <v>153.76</v>
      </c>
      <c r="E317" s="106">
        <f>IF(Term&gt;=B317,-PMT,"")</f>
        <v>1131.54</v>
      </c>
      <c r="F317" s="106">
        <f>IF(Term&gt;=B317,Loan-SUM(C$10:C317),"")</f>
        <v>55794.069999999891</v>
      </c>
    </row>
    <row r="318" spans="2:6">
      <c r="B318" s="28">
        <f t="shared" si="4"/>
        <v>308</v>
      </c>
      <c r="C318" s="109">
        <f>IF(Term&gt;=B318,E318-D318,"")</f>
        <v>980.43</v>
      </c>
      <c r="D318" s="109">
        <f>IF(Term&gt;=B318,ROUND(F317*Rate/PYR,2),"")</f>
        <v>151.11000000000001</v>
      </c>
      <c r="E318" s="109">
        <f>IF(Term&gt;=B318,-PMT,"")</f>
        <v>1131.54</v>
      </c>
      <c r="F318" s="109">
        <f>IF(Term&gt;=B318,Loan-SUM(C$10:C318),"")</f>
        <v>54813.639999999898</v>
      </c>
    </row>
    <row r="319" spans="2:6">
      <c r="B319" s="111">
        <f t="shared" si="4"/>
        <v>309</v>
      </c>
      <c r="C319" s="106">
        <f>IF(Term&gt;=B319,E319-D319,"")</f>
        <v>983.08999999999992</v>
      </c>
      <c r="D319" s="106">
        <f>IF(Term&gt;=B319,ROUND(F318*Rate/PYR,2),"")</f>
        <v>148.44999999999999</v>
      </c>
      <c r="E319" s="106">
        <f>IF(Term&gt;=B319,-PMT,"")</f>
        <v>1131.54</v>
      </c>
      <c r="F319" s="106">
        <f>IF(Term&gt;=B319,Loan-SUM(C$10:C319),"")</f>
        <v>53830.549999999901</v>
      </c>
    </row>
    <row r="320" spans="2:6">
      <c r="B320" s="28">
        <f t="shared" si="4"/>
        <v>310</v>
      </c>
      <c r="C320" s="109">
        <f>IF(Term&gt;=B320,E320-D320,"")</f>
        <v>985.75</v>
      </c>
      <c r="D320" s="109">
        <f>IF(Term&gt;=B320,ROUND(F319*Rate/PYR,2),"")</f>
        <v>145.79</v>
      </c>
      <c r="E320" s="109">
        <f>IF(Term&gt;=B320,-PMT,"")</f>
        <v>1131.54</v>
      </c>
      <c r="F320" s="109">
        <f>IF(Term&gt;=B320,Loan-SUM(C$10:C320),"")</f>
        <v>52844.799999999901</v>
      </c>
    </row>
    <row r="321" spans="2:6">
      <c r="B321" s="111">
        <f t="shared" si="4"/>
        <v>311</v>
      </c>
      <c r="C321" s="106">
        <f>IF(Term&gt;=B321,E321-D321,"")</f>
        <v>988.42</v>
      </c>
      <c r="D321" s="106">
        <f>IF(Term&gt;=B321,ROUND(F320*Rate/PYR,2),"")</f>
        <v>143.12</v>
      </c>
      <c r="E321" s="106">
        <f>IF(Term&gt;=B321,-PMT,"")</f>
        <v>1131.54</v>
      </c>
      <c r="F321" s="106">
        <f>IF(Term&gt;=B321,Loan-SUM(C$10:C321),"")</f>
        <v>51856.379999999888</v>
      </c>
    </row>
    <row r="322" spans="2:6">
      <c r="B322" s="28">
        <f t="shared" si="4"/>
        <v>312</v>
      </c>
      <c r="C322" s="109">
        <f>IF(Term&gt;=B322,E322-D322,"")</f>
        <v>991.09999999999991</v>
      </c>
      <c r="D322" s="109">
        <f>IF(Term&gt;=B322,ROUND(F321*Rate/PYR,2),"")</f>
        <v>140.44</v>
      </c>
      <c r="E322" s="109">
        <f>IF(Term&gt;=B322,-PMT,"")</f>
        <v>1131.54</v>
      </c>
      <c r="F322" s="109">
        <f>IF(Term&gt;=B322,Loan-SUM(C$10:C322),"")</f>
        <v>50865.279999999882</v>
      </c>
    </row>
    <row r="323" spans="2:6">
      <c r="B323" s="111">
        <f t="shared" si="4"/>
        <v>313</v>
      </c>
      <c r="C323" s="106">
        <f>IF(Term&gt;=B323,E323-D323,"")</f>
        <v>993.78</v>
      </c>
      <c r="D323" s="106">
        <f>IF(Term&gt;=B323,ROUND(F322*Rate/PYR,2),"")</f>
        <v>137.76</v>
      </c>
      <c r="E323" s="106">
        <f>IF(Term&gt;=B323,-PMT,"")</f>
        <v>1131.54</v>
      </c>
      <c r="F323" s="106">
        <f>IF(Term&gt;=B323,Loan-SUM(C$10:C323),"")</f>
        <v>49871.499999999884</v>
      </c>
    </row>
    <row r="324" spans="2:6">
      <c r="B324" s="28">
        <f t="shared" si="4"/>
        <v>314</v>
      </c>
      <c r="C324" s="109">
        <f>IF(Term&gt;=B324,E324-D324,"")</f>
        <v>996.47</v>
      </c>
      <c r="D324" s="109">
        <f>IF(Term&gt;=B324,ROUND(F323*Rate/PYR,2),"")</f>
        <v>135.07</v>
      </c>
      <c r="E324" s="109">
        <f>IF(Term&gt;=B324,-PMT,"")</f>
        <v>1131.54</v>
      </c>
      <c r="F324" s="109">
        <f>IF(Term&gt;=B324,Loan-SUM(C$10:C324),"")</f>
        <v>48875.029999999882</v>
      </c>
    </row>
    <row r="325" spans="2:6">
      <c r="B325" s="111">
        <f t="shared" si="4"/>
        <v>315</v>
      </c>
      <c r="C325" s="106">
        <f>IF(Term&gt;=B325,E325-D325,"")</f>
        <v>999.17</v>
      </c>
      <c r="D325" s="106">
        <f>IF(Term&gt;=B325,ROUND(F324*Rate/PYR,2),"")</f>
        <v>132.37</v>
      </c>
      <c r="E325" s="106">
        <f>IF(Term&gt;=B325,-PMT,"")</f>
        <v>1131.54</v>
      </c>
      <c r="F325" s="106">
        <f>IF(Term&gt;=B325,Loan-SUM(C$10:C325),"")</f>
        <v>47875.85999999987</v>
      </c>
    </row>
    <row r="326" spans="2:6">
      <c r="B326" s="28">
        <f t="shared" si="4"/>
        <v>316</v>
      </c>
      <c r="C326" s="109">
        <f>IF(Term&gt;=B326,E326-D326,"")</f>
        <v>1001.88</v>
      </c>
      <c r="D326" s="109">
        <f>IF(Term&gt;=B326,ROUND(F325*Rate/PYR,2),"")</f>
        <v>129.66</v>
      </c>
      <c r="E326" s="109">
        <f>IF(Term&gt;=B326,-PMT,"")</f>
        <v>1131.54</v>
      </c>
      <c r="F326" s="109">
        <f>IF(Term&gt;=B326,Loan-SUM(C$10:C326),"")</f>
        <v>46873.979999999865</v>
      </c>
    </row>
    <row r="327" spans="2:6">
      <c r="B327" s="111">
        <f t="shared" si="4"/>
        <v>317</v>
      </c>
      <c r="C327" s="106">
        <f>IF(Term&gt;=B327,E327-D327,"")</f>
        <v>1004.5899999999999</v>
      </c>
      <c r="D327" s="106">
        <f>IF(Term&gt;=B327,ROUND(F326*Rate/PYR,2),"")</f>
        <v>126.95</v>
      </c>
      <c r="E327" s="106">
        <f>IF(Term&gt;=B327,-PMT,"")</f>
        <v>1131.54</v>
      </c>
      <c r="F327" s="106">
        <f>IF(Term&gt;=B327,Loan-SUM(C$10:C327),"")</f>
        <v>45869.389999999868</v>
      </c>
    </row>
    <row r="328" spans="2:6">
      <c r="B328" s="28">
        <f t="shared" si="4"/>
        <v>318</v>
      </c>
      <c r="C328" s="109">
        <f>IF(Term&gt;=B328,E328-D328,"")</f>
        <v>1007.31</v>
      </c>
      <c r="D328" s="109">
        <f>IF(Term&gt;=B328,ROUND(F327*Rate/PYR,2),"")</f>
        <v>124.23</v>
      </c>
      <c r="E328" s="109">
        <f>IF(Term&gt;=B328,-PMT,"")</f>
        <v>1131.54</v>
      </c>
      <c r="F328" s="109">
        <f>IF(Term&gt;=B328,Loan-SUM(C$10:C328),"")</f>
        <v>44862.079999999871</v>
      </c>
    </row>
    <row r="329" spans="2:6">
      <c r="B329" s="111">
        <f t="shared" si="4"/>
        <v>319</v>
      </c>
      <c r="C329" s="106">
        <f>IF(Term&gt;=B329,E329-D329,"")</f>
        <v>1010.04</v>
      </c>
      <c r="D329" s="106">
        <f>IF(Term&gt;=B329,ROUND(F328*Rate/PYR,2),"")</f>
        <v>121.5</v>
      </c>
      <c r="E329" s="106">
        <f>IF(Term&gt;=B329,-PMT,"")</f>
        <v>1131.54</v>
      </c>
      <c r="F329" s="106">
        <f>IF(Term&gt;=B329,Loan-SUM(C$10:C329),"")</f>
        <v>43852.039999999863</v>
      </c>
    </row>
    <row r="330" spans="2:6">
      <c r="B330" s="28">
        <f t="shared" si="4"/>
        <v>320</v>
      </c>
      <c r="C330" s="109">
        <f>IF(Term&gt;=B330,E330-D330,"")</f>
        <v>1012.77</v>
      </c>
      <c r="D330" s="109">
        <f>IF(Term&gt;=B330,ROUND(F329*Rate/PYR,2),"")</f>
        <v>118.77</v>
      </c>
      <c r="E330" s="109">
        <f>IF(Term&gt;=B330,-PMT,"")</f>
        <v>1131.54</v>
      </c>
      <c r="F330" s="109">
        <f>IF(Term&gt;=B330,Loan-SUM(C$10:C330),"")</f>
        <v>42839.269999999873</v>
      </c>
    </row>
    <row r="331" spans="2:6">
      <c r="B331" s="111">
        <f t="shared" si="4"/>
        <v>321</v>
      </c>
      <c r="C331" s="106">
        <f>IF(Term&gt;=B331,E331-D331,"")</f>
        <v>1015.52</v>
      </c>
      <c r="D331" s="106">
        <f>IF(Term&gt;=B331,ROUND(F330*Rate/PYR,2),"")</f>
        <v>116.02</v>
      </c>
      <c r="E331" s="106">
        <f>IF(Term&gt;=B331,-PMT,"")</f>
        <v>1131.54</v>
      </c>
      <c r="F331" s="106">
        <f>IF(Term&gt;=B331,Loan-SUM(C$10:C331),"")</f>
        <v>41823.749999999884</v>
      </c>
    </row>
    <row r="332" spans="2:6">
      <c r="B332" s="28">
        <f t="shared" si="4"/>
        <v>322</v>
      </c>
      <c r="C332" s="109">
        <f>IF(Term&gt;=B332,E332-D332,"")</f>
        <v>1018.27</v>
      </c>
      <c r="D332" s="109">
        <f>IF(Term&gt;=B332,ROUND(F331*Rate/PYR,2),"")</f>
        <v>113.27</v>
      </c>
      <c r="E332" s="109">
        <f>IF(Term&gt;=B332,-PMT,"")</f>
        <v>1131.54</v>
      </c>
      <c r="F332" s="109">
        <f>IF(Term&gt;=B332,Loan-SUM(C$10:C332),"")</f>
        <v>40805.479999999894</v>
      </c>
    </row>
    <row r="333" spans="2:6">
      <c r="B333" s="111">
        <f t="shared" ref="B333:B370" si="5">B332+1</f>
        <v>323</v>
      </c>
      <c r="C333" s="106">
        <f>IF(Term&gt;=B333,E333-D333,"")</f>
        <v>1021.03</v>
      </c>
      <c r="D333" s="106">
        <f>IF(Term&gt;=B333,ROUND(F332*Rate/PYR,2),"")</f>
        <v>110.51</v>
      </c>
      <c r="E333" s="106">
        <f>IF(Term&gt;=B333,-PMT,"")</f>
        <v>1131.54</v>
      </c>
      <c r="F333" s="106">
        <f>IF(Term&gt;=B333,Loan-SUM(C$10:C333),"")</f>
        <v>39784.449999999895</v>
      </c>
    </row>
    <row r="334" spans="2:6">
      <c r="B334" s="28">
        <f t="shared" si="5"/>
        <v>324</v>
      </c>
      <c r="C334" s="109">
        <f>IF(Term&gt;=B334,E334-D334,"")</f>
        <v>1023.79</v>
      </c>
      <c r="D334" s="109">
        <f>IF(Term&gt;=B334,ROUND(F333*Rate/PYR,2),"")</f>
        <v>107.75</v>
      </c>
      <c r="E334" s="109">
        <f>IF(Term&gt;=B334,-PMT,"")</f>
        <v>1131.54</v>
      </c>
      <c r="F334" s="109">
        <f>IF(Term&gt;=B334,Loan-SUM(C$10:C334),"")</f>
        <v>38760.659999999887</v>
      </c>
    </row>
    <row r="335" spans="2:6">
      <c r="B335" s="111">
        <f t="shared" si="5"/>
        <v>325</v>
      </c>
      <c r="C335" s="106">
        <f>IF(Term&gt;=B335,E335-D335,"")</f>
        <v>1026.56</v>
      </c>
      <c r="D335" s="106">
        <f>IF(Term&gt;=B335,ROUND(F334*Rate/PYR,2),"")</f>
        <v>104.98</v>
      </c>
      <c r="E335" s="106">
        <f>IF(Term&gt;=B335,-PMT,"")</f>
        <v>1131.54</v>
      </c>
      <c r="F335" s="106">
        <f>IF(Term&gt;=B335,Loan-SUM(C$10:C335),"")</f>
        <v>37734.099999999889</v>
      </c>
    </row>
    <row r="336" spans="2:6">
      <c r="B336" s="28">
        <f t="shared" si="5"/>
        <v>326</v>
      </c>
      <c r="C336" s="109">
        <f>IF(Term&gt;=B336,E336-D336,"")</f>
        <v>1029.3399999999999</v>
      </c>
      <c r="D336" s="109">
        <f>IF(Term&gt;=B336,ROUND(F335*Rate/PYR,2),"")</f>
        <v>102.2</v>
      </c>
      <c r="E336" s="109">
        <f>IF(Term&gt;=B336,-PMT,"")</f>
        <v>1131.54</v>
      </c>
      <c r="F336" s="109">
        <f>IF(Term&gt;=B336,Loan-SUM(C$10:C336),"")</f>
        <v>36704.759999999893</v>
      </c>
    </row>
    <row r="337" spans="2:6">
      <c r="B337" s="111">
        <f t="shared" si="5"/>
        <v>327</v>
      </c>
      <c r="C337" s="106">
        <f>IF(Term&gt;=B337,E337-D337,"")</f>
        <v>1032.1299999999999</v>
      </c>
      <c r="D337" s="106">
        <f>IF(Term&gt;=B337,ROUND(F336*Rate/PYR,2),"")</f>
        <v>99.41</v>
      </c>
      <c r="E337" s="106">
        <f>IF(Term&gt;=B337,-PMT,"")</f>
        <v>1131.54</v>
      </c>
      <c r="F337" s="106">
        <f>IF(Term&gt;=B337,Loan-SUM(C$10:C337),"")</f>
        <v>35672.629999999888</v>
      </c>
    </row>
    <row r="338" spans="2:6">
      <c r="B338" s="28">
        <f t="shared" si="5"/>
        <v>328</v>
      </c>
      <c r="C338" s="109">
        <f>IF(Term&gt;=B338,E338-D338,"")</f>
        <v>1034.93</v>
      </c>
      <c r="D338" s="109">
        <f>IF(Term&gt;=B338,ROUND(F337*Rate/PYR,2),"")</f>
        <v>96.61</v>
      </c>
      <c r="E338" s="109">
        <f>IF(Term&gt;=B338,-PMT,"")</f>
        <v>1131.54</v>
      </c>
      <c r="F338" s="109">
        <f>IF(Term&gt;=B338,Loan-SUM(C$10:C338),"")</f>
        <v>34637.699999999895</v>
      </c>
    </row>
    <row r="339" spans="2:6">
      <c r="B339" s="111">
        <f t="shared" si="5"/>
        <v>329</v>
      </c>
      <c r="C339" s="106">
        <f>IF(Term&gt;=B339,E339-D339,"")</f>
        <v>1037.73</v>
      </c>
      <c r="D339" s="106">
        <f>IF(Term&gt;=B339,ROUND(F338*Rate/PYR,2),"")</f>
        <v>93.81</v>
      </c>
      <c r="E339" s="106">
        <f>IF(Term&gt;=B339,-PMT,"")</f>
        <v>1131.54</v>
      </c>
      <c r="F339" s="106">
        <f>IF(Term&gt;=B339,Loan-SUM(C$10:C339),"")</f>
        <v>33599.969999999885</v>
      </c>
    </row>
    <row r="340" spans="2:6">
      <c r="B340" s="28">
        <f t="shared" si="5"/>
        <v>330</v>
      </c>
      <c r="C340" s="109">
        <f>IF(Term&gt;=B340,E340-D340,"")</f>
        <v>1040.54</v>
      </c>
      <c r="D340" s="109">
        <f>IF(Term&gt;=B340,ROUND(F339*Rate/PYR,2),"")</f>
        <v>91</v>
      </c>
      <c r="E340" s="109">
        <f>IF(Term&gt;=B340,-PMT,"")</f>
        <v>1131.54</v>
      </c>
      <c r="F340" s="109">
        <f>IF(Term&gt;=B340,Loan-SUM(C$10:C340),"")</f>
        <v>32559.429999999877</v>
      </c>
    </row>
    <row r="341" spans="2:6">
      <c r="B341" s="111">
        <f t="shared" si="5"/>
        <v>331</v>
      </c>
      <c r="C341" s="106">
        <f>IF(Term&gt;=B341,E341-D341,"")</f>
        <v>1043.3599999999999</v>
      </c>
      <c r="D341" s="106">
        <f>IF(Term&gt;=B341,ROUND(F340*Rate/PYR,2),"")</f>
        <v>88.18</v>
      </c>
      <c r="E341" s="106">
        <f>IF(Term&gt;=B341,-PMT,"")</f>
        <v>1131.54</v>
      </c>
      <c r="F341" s="106">
        <f>IF(Term&gt;=B341,Loan-SUM(C$10:C341),"")</f>
        <v>31516.069999999891</v>
      </c>
    </row>
    <row r="342" spans="2:6">
      <c r="B342" s="28">
        <f t="shared" si="5"/>
        <v>332</v>
      </c>
      <c r="C342" s="109">
        <f>IF(Term&gt;=B342,E342-D342,"")</f>
        <v>1046.18</v>
      </c>
      <c r="D342" s="109">
        <f>IF(Term&gt;=B342,ROUND(F341*Rate/PYR,2),"")</f>
        <v>85.36</v>
      </c>
      <c r="E342" s="109">
        <f>IF(Term&gt;=B342,-PMT,"")</f>
        <v>1131.54</v>
      </c>
      <c r="F342" s="109">
        <f>IF(Term&gt;=B342,Loan-SUM(C$10:C342),"")</f>
        <v>30469.889999999898</v>
      </c>
    </row>
    <row r="343" spans="2:6">
      <c r="B343" s="111">
        <f t="shared" si="5"/>
        <v>333</v>
      </c>
      <c r="C343" s="106">
        <f>IF(Term&gt;=B343,E343-D343,"")</f>
        <v>1049.02</v>
      </c>
      <c r="D343" s="106">
        <f>IF(Term&gt;=B343,ROUND(F342*Rate/PYR,2),"")</f>
        <v>82.52</v>
      </c>
      <c r="E343" s="106">
        <f>IF(Term&gt;=B343,-PMT,"")</f>
        <v>1131.54</v>
      </c>
      <c r="F343" s="106">
        <f>IF(Term&gt;=B343,Loan-SUM(C$10:C343),"")</f>
        <v>29420.869999999908</v>
      </c>
    </row>
    <row r="344" spans="2:6">
      <c r="B344" s="28">
        <f t="shared" si="5"/>
        <v>334</v>
      </c>
      <c r="C344" s="109">
        <f>IF(Term&gt;=B344,E344-D344,"")</f>
        <v>1051.8599999999999</v>
      </c>
      <c r="D344" s="109">
        <f>IF(Term&gt;=B344,ROUND(F343*Rate/PYR,2),"")</f>
        <v>79.680000000000007</v>
      </c>
      <c r="E344" s="109">
        <f>IF(Term&gt;=B344,-PMT,"")</f>
        <v>1131.54</v>
      </c>
      <c r="F344" s="109">
        <f>IF(Term&gt;=B344,Loan-SUM(C$10:C344),"")</f>
        <v>28369.009999999922</v>
      </c>
    </row>
    <row r="345" spans="2:6">
      <c r="B345" s="111">
        <f t="shared" si="5"/>
        <v>335</v>
      </c>
      <c r="C345" s="106">
        <f>IF(Term&gt;=B345,E345-D345,"")</f>
        <v>1054.71</v>
      </c>
      <c r="D345" s="106">
        <f>IF(Term&gt;=B345,ROUND(F344*Rate/PYR,2),"")</f>
        <v>76.83</v>
      </c>
      <c r="E345" s="106">
        <f>IF(Term&gt;=B345,-PMT,"")</f>
        <v>1131.54</v>
      </c>
      <c r="F345" s="106">
        <f>IF(Term&gt;=B345,Loan-SUM(C$10:C345),"")</f>
        <v>27314.29999999993</v>
      </c>
    </row>
    <row r="346" spans="2:6">
      <c r="B346" s="28">
        <f t="shared" si="5"/>
        <v>336</v>
      </c>
      <c r="C346" s="109">
        <f>IF(Term&gt;=B346,E346-D346,"")</f>
        <v>1057.56</v>
      </c>
      <c r="D346" s="109">
        <f>IF(Term&gt;=B346,ROUND(F345*Rate/PYR,2),"")</f>
        <v>73.98</v>
      </c>
      <c r="E346" s="109">
        <f>IF(Term&gt;=B346,-PMT,"")</f>
        <v>1131.54</v>
      </c>
      <c r="F346" s="109">
        <f>IF(Term&gt;=B346,Loan-SUM(C$10:C346),"")</f>
        <v>26256.739999999932</v>
      </c>
    </row>
    <row r="347" spans="2:6">
      <c r="B347" s="111">
        <f t="shared" si="5"/>
        <v>337</v>
      </c>
      <c r="C347" s="106">
        <f>IF(Term&gt;=B347,E347-D347,"")</f>
        <v>1060.43</v>
      </c>
      <c r="D347" s="106">
        <f>IF(Term&gt;=B347,ROUND(F346*Rate/PYR,2),"")</f>
        <v>71.11</v>
      </c>
      <c r="E347" s="106">
        <f>IF(Term&gt;=B347,-PMT,"")</f>
        <v>1131.54</v>
      </c>
      <c r="F347" s="106">
        <f>IF(Term&gt;=B347,Loan-SUM(C$10:C347),"")</f>
        <v>25196.309999999939</v>
      </c>
    </row>
    <row r="348" spans="2:6">
      <c r="B348" s="28">
        <f t="shared" si="5"/>
        <v>338</v>
      </c>
      <c r="C348" s="109">
        <f>IF(Term&gt;=B348,E348-D348,"")</f>
        <v>1063.3</v>
      </c>
      <c r="D348" s="109">
        <f>IF(Term&gt;=B348,ROUND(F347*Rate/PYR,2),"")</f>
        <v>68.239999999999995</v>
      </c>
      <c r="E348" s="109">
        <f>IF(Term&gt;=B348,-PMT,"")</f>
        <v>1131.54</v>
      </c>
      <c r="F348" s="109">
        <f>IF(Term&gt;=B348,Loan-SUM(C$10:C348),"")</f>
        <v>24133.009999999951</v>
      </c>
    </row>
    <row r="349" spans="2:6">
      <c r="B349" s="111">
        <f t="shared" si="5"/>
        <v>339</v>
      </c>
      <c r="C349" s="106">
        <f>IF(Term&gt;=B349,E349-D349,"")</f>
        <v>1066.18</v>
      </c>
      <c r="D349" s="106">
        <f>IF(Term&gt;=B349,ROUND(F348*Rate/PYR,2),"")</f>
        <v>65.36</v>
      </c>
      <c r="E349" s="106">
        <f>IF(Term&gt;=B349,-PMT,"")</f>
        <v>1131.54</v>
      </c>
      <c r="F349" s="106">
        <f>IF(Term&gt;=B349,Loan-SUM(C$10:C349),"")</f>
        <v>23066.829999999958</v>
      </c>
    </row>
    <row r="350" spans="2:6">
      <c r="B350" s="28">
        <f t="shared" si="5"/>
        <v>340</v>
      </c>
      <c r="C350" s="109">
        <f>IF(Term&gt;=B350,E350-D350,"")</f>
        <v>1069.07</v>
      </c>
      <c r="D350" s="109">
        <f>IF(Term&gt;=B350,ROUND(F349*Rate/PYR,2),"")</f>
        <v>62.47</v>
      </c>
      <c r="E350" s="109">
        <f>IF(Term&gt;=B350,-PMT,"")</f>
        <v>1131.54</v>
      </c>
      <c r="F350" s="109">
        <f>IF(Term&gt;=B350,Loan-SUM(C$10:C350),"")</f>
        <v>21997.759999999951</v>
      </c>
    </row>
    <row r="351" spans="2:6">
      <c r="B351" s="111">
        <f t="shared" si="5"/>
        <v>341</v>
      </c>
      <c r="C351" s="106">
        <f>IF(Term&gt;=B351,E351-D351,"")</f>
        <v>1071.96</v>
      </c>
      <c r="D351" s="106">
        <f>IF(Term&gt;=B351,ROUND(F350*Rate/PYR,2),"")</f>
        <v>59.58</v>
      </c>
      <c r="E351" s="106">
        <f>IF(Term&gt;=B351,-PMT,"")</f>
        <v>1131.54</v>
      </c>
      <c r="F351" s="106">
        <f>IF(Term&gt;=B351,Loan-SUM(C$10:C351),"")</f>
        <v>20925.799999999959</v>
      </c>
    </row>
    <row r="352" spans="2:6">
      <c r="B352" s="28">
        <f t="shared" si="5"/>
        <v>342</v>
      </c>
      <c r="C352" s="109">
        <f>IF(Term&gt;=B352,E352-D352,"")</f>
        <v>1074.8699999999999</v>
      </c>
      <c r="D352" s="109">
        <f>IF(Term&gt;=B352,ROUND(F351*Rate/PYR,2),"")</f>
        <v>56.67</v>
      </c>
      <c r="E352" s="109">
        <f>IF(Term&gt;=B352,-PMT,"")</f>
        <v>1131.54</v>
      </c>
      <c r="F352" s="109">
        <f>IF(Term&gt;=B352,Loan-SUM(C$10:C352),"")</f>
        <v>19850.929999999964</v>
      </c>
    </row>
    <row r="353" spans="2:6">
      <c r="B353" s="111">
        <f t="shared" si="5"/>
        <v>343</v>
      </c>
      <c r="C353" s="106">
        <f>IF(Term&gt;=B353,E353-D353,"")</f>
        <v>1077.78</v>
      </c>
      <c r="D353" s="106">
        <f>IF(Term&gt;=B353,ROUND(F352*Rate/PYR,2),"")</f>
        <v>53.76</v>
      </c>
      <c r="E353" s="106">
        <f>IF(Term&gt;=B353,-PMT,"")</f>
        <v>1131.54</v>
      </c>
      <c r="F353" s="106">
        <f>IF(Term&gt;=B353,Loan-SUM(C$10:C353),"")</f>
        <v>18773.149999999965</v>
      </c>
    </row>
    <row r="354" spans="2:6">
      <c r="B354" s="28">
        <f t="shared" si="5"/>
        <v>344</v>
      </c>
      <c r="C354" s="109">
        <f>IF(Term&gt;=B354,E354-D354,"")</f>
        <v>1080.7</v>
      </c>
      <c r="D354" s="109">
        <f>IF(Term&gt;=B354,ROUND(F353*Rate/PYR,2),"")</f>
        <v>50.84</v>
      </c>
      <c r="E354" s="109">
        <f>IF(Term&gt;=B354,-PMT,"")</f>
        <v>1131.54</v>
      </c>
      <c r="F354" s="109">
        <f>IF(Term&gt;=B354,Loan-SUM(C$10:C354),"")</f>
        <v>17692.449999999953</v>
      </c>
    </row>
    <row r="355" spans="2:6">
      <c r="B355" s="111">
        <f t="shared" si="5"/>
        <v>345</v>
      </c>
      <c r="C355" s="106">
        <f>IF(Term&gt;=B355,E355-D355,"")</f>
        <v>1083.6199999999999</v>
      </c>
      <c r="D355" s="106">
        <f>IF(Term&gt;=B355,ROUND(F354*Rate/PYR,2),"")</f>
        <v>47.92</v>
      </c>
      <c r="E355" s="106">
        <f>IF(Term&gt;=B355,-PMT,"")</f>
        <v>1131.54</v>
      </c>
      <c r="F355" s="106">
        <f>IF(Term&gt;=B355,Loan-SUM(C$10:C355),"")</f>
        <v>16608.829999999958</v>
      </c>
    </row>
    <row r="356" spans="2:6">
      <c r="B356" s="28">
        <f t="shared" si="5"/>
        <v>346</v>
      </c>
      <c r="C356" s="109">
        <f>IF(Term&gt;=B356,E356-D356,"")</f>
        <v>1086.56</v>
      </c>
      <c r="D356" s="109">
        <f>IF(Term&gt;=B356,ROUND(F355*Rate/PYR,2),"")</f>
        <v>44.98</v>
      </c>
      <c r="E356" s="109">
        <f>IF(Term&gt;=B356,-PMT,"")</f>
        <v>1131.54</v>
      </c>
      <c r="F356" s="109">
        <f>IF(Term&gt;=B356,Loan-SUM(C$10:C356),"")</f>
        <v>15522.26999999996</v>
      </c>
    </row>
    <row r="357" spans="2:6">
      <c r="B357" s="111">
        <f t="shared" si="5"/>
        <v>347</v>
      </c>
      <c r="C357" s="106">
        <f>IF(Term&gt;=B357,E357-D357,"")</f>
        <v>1089.5</v>
      </c>
      <c r="D357" s="106">
        <f>IF(Term&gt;=B357,ROUND(F356*Rate/PYR,2),"")</f>
        <v>42.04</v>
      </c>
      <c r="E357" s="106">
        <f>IF(Term&gt;=B357,-PMT,"")</f>
        <v>1131.54</v>
      </c>
      <c r="F357" s="106">
        <f>IF(Term&gt;=B357,Loan-SUM(C$10:C357),"")</f>
        <v>14432.76999999996</v>
      </c>
    </row>
    <row r="358" spans="2:6">
      <c r="B358" s="28">
        <f t="shared" si="5"/>
        <v>348</v>
      </c>
      <c r="C358" s="109">
        <f>IF(Term&gt;=B358,E358-D358,"")</f>
        <v>1092.45</v>
      </c>
      <c r="D358" s="109">
        <f>IF(Term&gt;=B358,ROUND(F357*Rate/PYR,2),"")</f>
        <v>39.090000000000003</v>
      </c>
      <c r="E358" s="109">
        <f>IF(Term&gt;=B358,-PMT,"")</f>
        <v>1131.54</v>
      </c>
      <c r="F358" s="109">
        <f>IF(Term&gt;=B358,Loan-SUM(C$10:C358),"")</f>
        <v>13340.319999999949</v>
      </c>
    </row>
    <row r="359" spans="2:6">
      <c r="B359" s="111">
        <f t="shared" si="5"/>
        <v>349</v>
      </c>
      <c r="C359" s="106">
        <f>IF(Term&gt;=B359,E359-D359,"")</f>
        <v>1095.4099999999999</v>
      </c>
      <c r="D359" s="106">
        <f>IF(Term&gt;=B359,ROUND(F358*Rate/PYR,2),"")</f>
        <v>36.130000000000003</v>
      </c>
      <c r="E359" s="106">
        <f>IF(Term&gt;=B359,-PMT,"")</f>
        <v>1131.54</v>
      </c>
      <c r="F359" s="106">
        <f>IF(Term&gt;=B359,Loan-SUM(C$10:C359),"")</f>
        <v>12244.909999999945</v>
      </c>
    </row>
    <row r="360" spans="2:6">
      <c r="B360" s="28">
        <f t="shared" si="5"/>
        <v>350</v>
      </c>
      <c r="C360" s="109">
        <f>IF(Term&gt;=B360,E360-D360,"")</f>
        <v>1098.3799999999999</v>
      </c>
      <c r="D360" s="109">
        <f>IF(Term&gt;=B360,ROUND(F359*Rate/PYR,2),"")</f>
        <v>33.159999999999997</v>
      </c>
      <c r="E360" s="109">
        <f>IF(Term&gt;=B360,-PMT,"")</f>
        <v>1131.54</v>
      </c>
      <c r="F360" s="109">
        <f>IF(Term&gt;=B360,Loan-SUM(C$10:C360),"")</f>
        <v>11146.529999999941</v>
      </c>
    </row>
    <row r="361" spans="2:6">
      <c r="B361" s="111">
        <f t="shared" si="5"/>
        <v>351</v>
      </c>
      <c r="C361" s="106">
        <f>IF(Term&gt;=B361,E361-D361,"")</f>
        <v>1101.3499999999999</v>
      </c>
      <c r="D361" s="106">
        <f>IF(Term&gt;=B361,ROUND(F360*Rate/PYR,2),"")</f>
        <v>30.19</v>
      </c>
      <c r="E361" s="106">
        <f>IF(Term&gt;=B361,-PMT,"")</f>
        <v>1131.54</v>
      </c>
      <c r="F361" s="106">
        <f>IF(Term&gt;=B361,Loan-SUM(C$10:C361),"")</f>
        <v>10045.179999999935</v>
      </c>
    </row>
    <row r="362" spans="2:6">
      <c r="B362" s="28">
        <f t="shared" si="5"/>
        <v>352</v>
      </c>
      <c r="C362" s="109">
        <f>IF(Term&gt;=B362,E362-D362,"")</f>
        <v>1104.33</v>
      </c>
      <c r="D362" s="109">
        <f>IF(Term&gt;=B362,ROUND(F361*Rate/PYR,2),"")</f>
        <v>27.21</v>
      </c>
      <c r="E362" s="109">
        <f>IF(Term&gt;=B362,-PMT,"")</f>
        <v>1131.54</v>
      </c>
      <c r="F362" s="109">
        <f>IF(Term&gt;=B362,Loan-SUM(C$10:C362),"")</f>
        <v>8940.8499999999476</v>
      </c>
    </row>
    <row r="363" spans="2:6">
      <c r="B363" s="111">
        <f t="shared" si="5"/>
        <v>353</v>
      </c>
      <c r="C363" s="106">
        <f>IF(Term&gt;=B363,E363-D363,"")</f>
        <v>1107.33</v>
      </c>
      <c r="D363" s="106">
        <f>IF(Term&gt;=B363,ROUND(F362*Rate/PYR,2),"")</f>
        <v>24.21</v>
      </c>
      <c r="E363" s="106">
        <f>IF(Term&gt;=B363,-PMT,"")</f>
        <v>1131.54</v>
      </c>
      <c r="F363" s="106">
        <f>IF(Term&gt;=B363,Loan-SUM(C$10:C363),"")</f>
        <v>7833.5199999999604</v>
      </c>
    </row>
    <row r="364" spans="2:6">
      <c r="B364" s="28">
        <f t="shared" si="5"/>
        <v>354</v>
      </c>
      <c r="C364" s="109">
        <f>IF(Term&gt;=B364,E364-D364,"")</f>
        <v>1110.32</v>
      </c>
      <c r="D364" s="109">
        <f>IF(Term&gt;=B364,ROUND(F363*Rate/PYR,2),"")</f>
        <v>21.22</v>
      </c>
      <c r="E364" s="109">
        <f>IF(Term&gt;=B364,-PMT,"")</f>
        <v>1131.54</v>
      </c>
      <c r="F364" s="109">
        <f>IF(Term&gt;=B364,Loan-SUM(C$10:C364),"")</f>
        <v>6723.1999999999534</v>
      </c>
    </row>
    <row r="365" spans="2:6">
      <c r="B365" s="111">
        <f t="shared" si="5"/>
        <v>355</v>
      </c>
      <c r="C365" s="106">
        <f>IF(Term&gt;=B365,E365-D365,"")</f>
        <v>1113.33</v>
      </c>
      <c r="D365" s="106">
        <f>IF(Term&gt;=B365,ROUND(F364*Rate/PYR,2),"")</f>
        <v>18.21</v>
      </c>
      <c r="E365" s="106">
        <f>IF(Term&gt;=B365,-PMT,"")</f>
        <v>1131.54</v>
      </c>
      <c r="F365" s="106">
        <f>IF(Term&gt;=B365,Loan-SUM(C$10:C365),"")</f>
        <v>5609.8699999999662</v>
      </c>
    </row>
    <row r="366" spans="2:6">
      <c r="B366" s="28">
        <f t="shared" si="5"/>
        <v>356</v>
      </c>
      <c r="C366" s="109">
        <f>IF(Term&gt;=B366,E366-D366,"")</f>
        <v>1116.3499999999999</v>
      </c>
      <c r="D366" s="109">
        <f>IF(Term&gt;=B366,ROUND(F365*Rate/PYR,2),"")</f>
        <v>15.19</v>
      </c>
      <c r="E366" s="109">
        <f>IF(Term&gt;=B366,-PMT,"")</f>
        <v>1131.54</v>
      </c>
      <c r="F366" s="109">
        <f>IF(Term&gt;=B366,Loan-SUM(C$10:C366),"")</f>
        <v>4493.5199999999604</v>
      </c>
    </row>
    <row r="367" spans="2:6">
      <c r="B367" s="111">
        <f t="shared" si="5"/>
        <v>357</v>
      </c>
      <c r="C367" s="106">
        <f>IF(Term&gt;=B367,E367-D367,"")</f>
        <v>1119.3699999999999</v>
      </c>
      <c r="D367" s="106">
        <f>IF(Term&gt;=B367,ROUND(F366*Rate/PYR,2),"")</f>
        <v>12.17</v>
      </c>
      <c r="E367" s="106">
        <f>IF(Term&gt;=B367,-PMT,"")</f>
        <v>1131.54</v>
      </c>
      <c r="F367" s="106">
        <f>IF(Term&gt;=B367,Loan-SUM(C$10:C367),"")</f>
        <v>3374.1499999999651</v>
      </c>
    </row>
    <row r="368" spans="2:6">
      <c r="B368" s="28">
        <f t="shared" si="5"/>
        <v>358</v>
      </c>
      <c r="C368" s="109">
        <f>IF(Term&gt;=B368,E368-D368,"")</f>
        <v>1122.3999999999999</v>
      </c>
      <c r="D368" s="109">
        <f>IF(Term&gt;=B368,ROUND(F367*Rate/PYR,2),"")</f>
        <v>9.14</v>
      </c>
      <c r="E368" s="109">
        <f>IF(Term&gt;=B368,-PMT,"")</f>
        <v>1131.54</v>
      </c>
      <c r="F368" s="109">
        <f>IF(Term&gt;=B368,Loan-SUM(C$10:C368),"")</f>
        <v>2251.7499999999709</v>
      </c>
    </row>
    <row r="369" spans="2:6">
      <c r="B369" s="111">
        <f t="shared" si="5"/>
        <v>359</v>
      </c>
      <c r="C369" s="106">
        <f>IF(Term&gt;=B369,E369-D369,"")</f>
        <v>1125.44</v>
      </c>
      <c r="D369" s="106">
        <f>IF(Term&gt;=B369,ROUND(F368*Rate/PYR,2),"")</f>
        <v>6.1</v>
      </c>
      <c r="E369" s="106">
        <f>IF(Term&gt;=B369,-PMT,"")</f>
        <v>1131.54</v>
      </c>
      <c r="F369" s="106">
        <f>IF(Term&gt;=B369,Loan-SUM(C$10:C369),"")</f>
        <v>1126.3099999999686</v>
      </c>
    </row>
    <row r="370" spans="2:6">
      <c r="B370" s="28">
        <f t="shared" si="5"/>
        <v>360</v>
      </c>
      <c r="C370" s="109">
        <f>IF(Term&gt;=B370,E370-D370,"")</f>
        <v>1128.49</v>
      </c>
      <c r="D370" s="109">
        <f>IF(Term&gt;=B370,ROUND(F369*Rate/PYR,2),"")</f>
        <v>3.05</v>
      </c>
      <c r="E370" s="109">
        <f>IF(Term&gt;=B370,-PMT,"")</f>
        <v>1131.54</v>
      </c>
      <c r="F370" s="109">
        <f>IF(Term&gt;=B370,Loan-SUM(C$10:C370),"")</f>
        <v>-2.1800000000221189</v>
      </c>
    </row>
  </sheetData>
  <phoneticPr fontId="4" type="noConversion"/>
  <printOptions horizontalCentered="1"/>
  <pageMargins left="0.5" right="0.5" top="0.5" bottom="0.5" header="0.25" footer="0.25"/>
  <pageSetup fitToHeight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7"/>
  <sheetViews>
    <sheetView showGridLines="0" workbookViewId="0">
      <selection activeCell="B3" sqref="B3"/>
    </sheetView>
  </sheetViews>
  <sheetFormatPr defaultRowHeight="12.75"/>
  <cols>
    <col min="1" max="1" width="1.7109375" customWidth="1"/>
    <col min="2" max="2" width="12.28515625" bestFit="1" customWidth="1"/>
    <col min="3" max="3" width="11" bestFit="1" customWidth="1"/>
    <col min="4" max="7" width="10.140625" bestFit="1" customWidth="1"/>
    <col min="8" max="14" width="9.85546875" bestFit="1" customWidth="1"/>
    <col min="15" max="18" width="10.140625" bestFit="1" customWidth="1"/>
  </cols>
  <sheetData>
    <row r="1" spans="2:18" ht="5.0999999999999996" customHeight="1"/>
    <row r="2" spans="2:18" ht="18"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18" ht="18">
      <c r="B3" s="3" t="str">
        <f>"Maximum Amount of Loan Based on Payment To Income Ratio of "&amp;TEXT(B5,"0.0%")</f>
        <v>Maximum Amount of Loan Based on Payment To Income Ratio of 28.0%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8" ht="15">
      <c r="B5" s="114">
        <v>0.28000000000000003</v>
      </c>
      <c r="C5" s="31" t="s">
        <v>171</v>
      </c>
    </row>
    <row r="6" spans="2:18" ht="5.0999999999999996" customHeight="1"/>
    <row r="7" spans="2:18" ht="15.75">
      <c r="B7" s="10" t="s">
        <v>43</v>
      </c>
      <c r="C7" s="122" t="s">
        <v>45</v>
      </c>
      <c r="D7" s="11" t="s">
        <v>1</v>
      </c>
      <c r="E7" s="12"/>
      <c r="F7" s="12"/>
      <c r="G7" s="12"/>
      <c r="H7" s="12"/>
      <c r="I7" s="12"/>
      <c r="J7" s="12"/>
      <c r="K7" s="12"/>
      <c r="L7" s="12"/>
      <c r="M7" s="22"/>
      <c r="N7" s="22"/>
      <c r="O7" s="22"/>
      <c r="P7" s="22"/>
      <c r="Q7" s="22"/>
      <c r="R7" s="23"/>
    </row>
    <row r="8" spans="2:18" ht="15.75">
      <c r="B8" s="14" t="s">
        <v>0</v>
      </c>
      <c r="C8" s="14" t="s">
        <v>44</v>
      </c>
      <c r="D8" s="121">
        <v>0.03</v>
      </c>
      <c r="E8" s="21">
        <f>D8+0.005</f>
        <v>3.4999999999999996E-2</v>
      </c>
      <c r="F8" s="21">
        <f t="shared" ref="F8:L8" si="0">E8+0.005</f>
        <v>3.9999999999999994E-2</v>
      </c>
      <c r="G8" s="21">
        <f t="shared" si="0"/>
        <v>4.4999999999999991E-2</v>
      </c>
      <c r="H8" s="21">
        <f t="shared" si="0"/>
        <v>4.9999999999999989E-2</v>
      </c>
      <c r="I8" s="21">
        <f t="shared" si="0"/>
        <v>5.4999999999999986E-2</v>
      </c>
      <c r="J8" s="21">
        <f t="shared" si="0"/>
        <v>5.9999999999999984E-2</v>
      </c>
      <c r="K8" s="21">
        <f t="shared" si="0"/>
        <v>6.4999999999999988E-2</v>
      </c>
      <c r="L8" s="21">
        <f t="shared" si="0"/>
        <v>6.9999999999999993E-2</v>
      </c>
      <c r="M8" s="21">
        <f>L8+0.005</f>
        <v>7.4999999999999997E-2</v>
      </c>
      <c r="N8" s="21">
        <f>M8+0.005</f>
        <v>0.08</v>
      </c>
      <c r="O8" s="21">
        <f>N8+0.005</f>
        <v>8.5000000000000006E-2</v>
      </c>
      <c r="P8" s="21">
        <f>O8+0.005</f>
        <v>9.0000000000000011E-2</v>
      </c>
      <c r="Q8" s="21">
        <f>P8+0.005</f>
        <v>9.5000000000000015E-2</v>
      </c>
      <c r="R8" s="21">
        <f>Q8+0.005</f>
        <v>0.10000000000000002</v>
      </c>
    </row>
    <row r="9" spans="2:18" ht="15" customHeight="1">
      <c r="B9" s="120">
        <v>25000</v>
      </c>
      <c r="C9" s="115">
        <f>$B9/12*$B$5</f>
        <v>583.33333333333348</v>
      </c>
      <c r="D9" s="115">
        <f>-PV(D$8/12,360,$C9,0,0)</f>
        <v>138360.47254416469</v>
      </c>
      <c r="E9" s="115">
        <f t="shared" ref="E9:Q28" si="1">-PV(E$8/12,360,$C9,0,0)</f>
        <v>129905.40789599101</v>
      </c>
      <c r="F9" s="115">
        <f t="shared" si="1"/>
        <v>122185.72359828075</v>
      </c>
      <c r="G9" s="115">
        <f t="shared" si="1"/>
        <v>115127.34275516825</v>
      </c>
      <c r="H9" s="115">
        <f t="shared" si="1"/>
        <v>108664.27661021093</v>
      </c>
      <c r="I9" s="115">
        <f t="shared" si="1"/>
        <v>102737.69515602702</v>
      </c>
      <c r="J9" s="115">
        <f t="shared" si="1"/>
        <v>97295.108395527932</v>
      </c>
      <c r="K9" s="115">
        <f t="shared" si="1"/>
        <v>92289.644729959226</v>
      </c>
      <c r="L9" s="115">
        <f t="shared" si="1"/>
        <v>87679.414636229092</v>
      </c>
      <c r="M9" s="115">
        <f t="shared" si="1"/>
        <v>83426.949269217395</v>
      </c>
      <c r="N9" s="115">
        <f t="shared" si="1"/>
        <v>79498.704911478417</v>
      </c>
      <c r="O9" s="115">
        <f t="shared" si="1"/>
        <v>75864.6253170243</v>
      </c>
      <c r="P9" s="115">
        <f t="shared" si="1"/>
        <v>72497.754978389581</v>
      </c>
      <c r="Q9" s="115">
        <f t="shared" si="1"/>
        <v>69373.897205146248</v>
      </c>
      <c r="R9" s="115">
        <f t="shared" ref="R9:R28" si="2">-PV(R$8/12,360,$C9,0,0)</f>
        <v>66471.311653168901</v>
      </c>
    </row>
    <row r="10" spans="2:18" ht="15" customHeight="1">
      <c r="B10" s="116">
        <f>B9+25000</f>
        <v>50000</v>
      </c>
      <c r="C10" s="116">
        <f>$B10/12*$B$5</f>
        <v>1166.666666666667</v>
      </c>
      <c r="D10" s="116">
        <f>-PV(D$8/12,360,$C10,0,0)</f>
        <v>276720.94508832938</v>
      </c>
      <c r="E10" s="116">
        <f t="shared" si="1"/>
        <v>259810.81579198202</v>
      </c>
      <c r="F10" s="116">
        <f t="shared" si="1"/>
        <v>244371.44719656149</v>
      </c>
      <c r="G10" s="116">
        <f t="shared" si="1"/>
        <v>230254.68551033651</v>
      </c>
      <c r="H10" s="116">
        <f t="shared" si="1"/>
        <v>217328.55322042186</v>
      </c>
      <c r="I10" s="116">
        <f t="shared" si="1"/>
        <v>205475.39031205405</v>
      </c>
      <c r="J10" s="116">
        <f t="shared" si="1"/>
        <v>194590.21679105586</v>
      </c>
      <c r="K10" s="116">
        <f t="shared" si="1"/>
        <v>184579.28945991845</v>
      </c>
      <c r="L10" s="116">
        <f t="shared" si="1"/>
        <v>175358.82927245818</v>
      </c>
      <c r="M10" s="116">
        <f t="shared" si="1"/>
        <v>166853.89853843479</v>
      </c>
      <c r="N10" s="116">
        <f t="shared" si="1"/>
        <v>158997.40982295683</v>
      </c>
      <c r="O10" s="116">
        <f t="shared" si="1"/>
        <v>151729.2506340486</v>
      </c>
      <c r="P10" s="116">
        <f t="shared" si="1"/>
        <v>144995.50995677916</v>
      </c>
      <c r="Q10" s="116">
        <f t="shared" si="1"/>
        <v>138747.7944102925</v>
      </c>
      <c r="R10" s="116">
        <f t="shared" si="2"/>
        <v>132942.6233063378</v>
      </c>
    </row>
    <row r="11" spans="2:18" ht="15" customHeight="1">
      <c r="B11" s="115">
        <f t="shared" ref="B11:B26" si="3">B10+25000</f>
        <v>75000</v>
      </c>
      <c r="C11" s="115">
        <f>$B11/12*$B$5</f>
        <v>1750.0000000000002</v>
      </c>
      <c r="D11" s="115">
        <f>-PV(D$8/12,360,$C11,0,0)</f>
        <v>415081.41763249395</v>
      </c>
      <c r="E11" s="115">
        <f t="shared" si="1"/>
        <v>389716.22368797305</v>
      </c>
      <c r="F11" s="115">
        <f t="shared" si="1"/>
        <v>366557.17079484218</v>
      </c>
      <c r="G11" s="115">
        <f t="shared" si="1"/>
        <v>345382.02826550475</v>
      </c>
      <c r="H11" s="115">
        <f t="shared" si="1"/>
        <v>325992.82983063278</v>
      </c>
      <c r="I11" s="115">
        <f t="shared" si="1"/>
        <v>308213.08546808106</v>
      </c>
      <c r="J11" s="115">
        <f t="shared" si="1"/>
        <v>291885.32518658374</v>
      </c>
      <c r="K11" s="115">
        <f t="shared" si="1"/>
        <v>276868.93418987765</v>
      </c>
      <c r="L11" s="115">
        <f t="shared" si="1"/>
        <v>263038.24390868726</v>
      </c>
      <c r="M11" s="115">
        <f t="shared" si="1"/>
        <v>250280.84780765217</v>
      </c>
      <c r="N11" s="115">
        <f t="shared" si="1"/>
        <v>238496.11473443525</v>
      </c>
      <c r="O11" s="115">
        <f t="shared" si="1"/>
        <v>227593.87595107287</v>
      </c>
      <c r="P11" s="115">
        <f t="shared" si="1"/>
        <v>217493.2649351687</v>
      </c>
      <c r="Q11" s="115">
        <f t="shared" si="1"/>
        <v>208121.69161543873</v>
      </c>
      <c r="R11" s="115">
        <f t="shared" si="2"/>
        <v>199413.93495950665</v>
      </c>
    </row>
    <row r="12" spans="2:18" ht="15" customHeight="1">
      <c r="B12" s="116">
        <f t="shared" si="3"/>
        <v>100000</v>
      </c>
      <c r="C12" s="116">
        <f>$B12/12*$B$5</f>
        <v>2333.3333333333339</v>
      </c>
      <c r="D12" s="116">
        <f t="shared" ref="D12:D28" si="4">-PV(D$8/12,360,$C12,0,0)</f>
        <v>553441.89017665875</v>
      </c>
      <c r="E12" s="116">
        <f t="shared" si="1"/>
        <v>519621.63158396404</v>
      </c>
      <c r="F12" s="116">
        <f t="shared" si="1"/>
        <v>488742.89439312299</v>
      </c>
      <c r="G12" s="116">
        <f t="shared" si="1"/>
        <v>460509.37102067302</v>
      </c>
      <c r="H12" s="116">
        <f t="shared" si="1"/>
        <v>434657.10644084372</v>
      </c>
      <c r="I12" s="116">
        <f t="shared" si="1"/>
        <v>410950.7806241081</v>
      </c>
      <c r="J12" s="116">
        <f t="shared" si="1"/>
        <v>389180.43358211173</v>
      </c>
      <c r="K12" s="116">
        <f t="shared" si="1"/>
        <v>369158.5789198369</v>
      </c>
      <c r="L12" s="116">
        <f t="shared" si="1"/>
        <v>350717.65854491637</v>
      </c>
      <c r="M12" s="116">
        <f t="shared" si="1"/>
        <v>333707.79707686958</v>
      </c>
      <c r="N12" s="116">
        <f t="shared" si="1"/>
        <v>317994.81964591367</v>
      </c>
      <c r="O12" s="116">
        <f t="shared" si="1"/>
        <v>303458.5012680972</v>
      </c>
      <c r="P12" s="116">
        <f t="shared" si="1"/>
        <v>289991.01991355832</v>
      </c>
      <c r="Q12" s="116">
        <f t="shared" si="1"/>
        <v>277495.58882058499</v>
      </c>
      <c r="R12" s="116">
        <f t="shared" si="2"/>
        <v>265885.2466126756</v>
      </c>
    </row>
    <row r="13" spans="2:18" ht="15" customHeight="1">
      <c r="B13" s="115">
        <f t="shared" si="3"/>
        <v>125000</v>
      </c>
      <c r="C13" s="115">
        <f>$B13/12*$B$5</f>
        <v>2916.666666666667</v>
      </c>
      <c r="D13" s="115">
        <f t="shared" si="4"/>
        <v>691802.36272082315</v>
      </c>
      <c r="E13" s="115">
        <f t="shared" si="1"/>
        <v>649527.03947995498</v>
      </c>
      <c r="F13" s="115">
        <f t="shared" si="1"/>
        <v>610928.61799140368</v>
      </c>
      <c r="G13" s="115">
        <f t="shared" si="1"/>
        <v>575636.71377584117</v>
      </c>
      <c r="H13" s="115">
        <f t="shared" si="1"/>
        <v>543321.38305105455</v>
      </c>
      <c r="I13" s="115">
        <f t="shared" si="1"/>
        <v>513688.47578013514</v>
      </c>
      <c r="J13" s="115">
        <f t="shared" si="1"/>
        <v>486475.54197763954</v>
      </c>
      <c r="K13" s="115">
        <f t="shared" si="1"/>
        <v>461448.2236497961</v>
      </c>
      <c r="L13" s="115">
        <f t="shared" si="1"/>
        <v>438397.07318114542</v>
      </c>
      <c r="M13" s="115">
        <f t="shared" si="1"/>
        <v>417134.7463460869</v>
      </c>
      <c r="N13" s="115">
        <f t="shared" si="1"/>
        <v>397493.52455739205</v>
      </c>
      <c r="O13" s="115">
        <f t="shared" si="1"/>
        <v>379323.12658512138</v>
      </c>
      <c r="P13" s="115">
        <f t="shared" si="1"/>
        <v>362488.7748919478</v>
      </c>
      <c r="Q13" s="115">
        <f t="shared" si="1"/>
        <v>346869.4860257312</v>
      </c>
      <c r="R13" s="115">
        <f t="shared" si="2"/>
        <v>332356.55826584442</v>
      </c>
    </row>
    <row r="14" spans="2:18" ht="15" customHeight="1">
      <c r="B14" s="116">
        <f t="shared" si="3"/>
        <v>150000</v>
      </c>
      <c r="C14" s="116">
        <f>$B14/12*$B$5</f>
        <v>3500.0000000000005</v>
      </c>
      <c r="D14" s="116">
        <f t="shared" si="4"/>
        <v>830162.83526498789</v>
      </c>
      <c r="E14" s="116">
        <f t="shared" si="1"/>
        <v>779432.4473759461</v>
      </c>
      <c r="F14" s="116">
        <f t="shared" si="1"/>
        <v>733114.34158968437</v>
      </c>
      <c r="G14" s="116">
        <f t="shared" si="1"/>
        <v>690764.0565310095</v>
      </c>
      <c r="H14" s="116">
        <f t="shared" si="1"/>
        <v>651985.65966126556</v>
      </c>
      <c r="I14" s="116">
        <f t="shared" si="1"/>
        <v>616426.17093616212</v>
      </c>
      <c r="J14" s="116">
        <f t="shared" si="1"/>
        <v>583770.65037316747</v>
      </c>
      <c r="K14" s="116">
        <f t="shared" si="1"/>
        <v>553737.86837975529</v>
      </c>
      <c r="L14" s="116">
        <f t="shared" si="1"/>
        <v>526076.48781737452</v>
      </c>
      <c r="M14" s="116">
        <f t="shared" si="1"/>
        <v>500561.69561530434</v>
      </c>
      <c r="N14" s="116">
        <f t="shared" si="1"/>
        <v>476992.2294688705</v>
      </c>
      <c r="O14" s="116">
        <f t="shared" si="1"/>
        <v>455187.75190214574</v>
      </c>
      <c r="P14" s="116">
        <f t="shared" si="1"/>
        <v>434986.5298703374</v>
      </c>
      <c r="Q14" s="116">
        <f t="shared" si="1"/>
        <v>416243.38323087746</v>
      </c>
      <c r="R14" s="116">
        <f t="shared" si="2"/>
        <v>398827.86991901329</v>
      </c>
    </row>
    <row r="15" spans="2:18" ht="15" customHeight="1">
      <c r="B15" s="115">
        <f t="shared" si="3"/>
        <v>175000</v>
      </c>
      <c r="C15" s="115">
        <f>$B15/12*$B$5</f>
        <v>4083.3333333333339</v>
      </c>
      <c r="D15" s="115">
        <f t="shared" si="4"/>
        <v>968523.30780915252</v>
      </c>
      <c r="E15" s="115">
        <f t="shared" si="1"/>
        <v>909337.85527193709</v>
      </c>
      <c r="F15" s="115">
        <f t="shared" si="1"/>
        <v>855300.06518796517</v>
      </c>
      <c r="G15" s="115">
        <f t="shared" si="1"/>
        <v>805891.39928617771</v>
      </c>
      <c r="H15" s="115">
        <f t="shared" si="1"/>
        <v>760649.93627147656</v>
      </c>
      <c r="I15" s="115">
        <f t="shared" si="1"/>
        <v>719163.8660921891</v>
      </c>
      <c r="J15" s="115">
        <f t="shared" si="1"/>
        <v>681065.75876869541</v>
      </c>
      <c r="K15" s="115">
        <f t="shared" si="1"/>
        <v>646027.51310971449</v>
      </c>
      <c r="L15" s="115">
        <f t="shared" si="1"/>
        <v>613755.90245360357</v>
      </c>
      <c r="M15" s="115">
        <f t="shared" si="1"/>
        <v>583988.64488452172</v>
      </c>
      <c r="N15" s="115">
        <f t="shared" si="1"/>
        <v>556490.93438034889</v>
      </c>
      <c r="O15" s="115">
        <f t="shared" si="1"/>
        <v>531052.37721916998</v>
      </c>
      <c r="P15" s="115">
        <f t="shared" si="1"/>
        <v>507484.28484872699</v>
      </c>
      <c r="Q15" s="115">
        <f t="shared" si="1"/>
        <v>485617.28043602366</v>
      </c>
      <c r="R15" s="115">
        <f t="shared" si="2"/>
        <v>465299.18157218222</v>
      </c>
    </row>
    <row r="16" spans="2:18" ht="15" customHeight="1">
      <c r="B16" s="116">
        <f t="shared" si="3"/>
        <v>200000</v>
      </c>
      <c r="C16" s="116">
        <f>$B16/12*$B$5</f>
        <v>4666.6666666666679</v>
      </c>
      <c r="D16" s="116">
        <f t="shared" si="4"/>
        <v>1106883.7803533175</v>
      </c>
      <c r="E16" s="116">
        <f t="shared" si="1"/>
        <v>1039243.2631679281</v>
      </c>
      <c r="F16" s="116">
        <f t="shared" si="1"/>
        <v>977485.78878624598</v>
      </c>
      <c r="G16" s="116">
        <f t="shared" si="1"/>
        <v>921018.74204134603</v>
      </c>
      <c r="H16" s="116">
        <f t="shared" si="1"/>
        <v>869314.21288168745</v>
      </c>
      <c r="I16" s="116">
        <f t="shared" si="1"/>
        <v>821901.5612482162</v>
      </c>
      <c r="J16" s="116">
        <f t="shared" si="1"/>
        <v>778360.86716422345</v>
      </c>
      <c r="K16" s="116">
        <f t="shared" si="1"/>
        <v>738317.1578396738</v>
      </c>
      <c r="L16" s="116">
        <f t="shared" si="1"/>
        <v>701435.31708983274</v>
      </c>
      <c r="M16" s="116">
        <f t="shared" si="1"/>
        <v>667415.59415373916</v>
      </c>
      <c r="N16" s="116">
        <f t="shared" si="1"/>
        <v>635989.63929182733</v>
      </c>
      <c r="O16" s="116">
        <f t="shared" si="1"/>
        <v>606917.0025361944</v>
      </c>
      <c r="P16" s="116">
        <f t="shared" si="1"/>
        <v>579982.03982711665</v>
      </c>
      <c r="Q16" s="116">
        <f t="shared" si="1"/>
        <v>554991.17764116998</v>
      </c>
      <c r="R16" s="116">
        <f t="shared" si="2"/>
        <v>531770.49322535121</v>
      </c>
    </row>
    <row r="17" spans="2:18" ht="15" customHeight="1">
      <c r="B17" s="115">
        <f t="shared" si="3"/>
        <v>225000</v>
      </c>
      <c r="C17" s="115">
        <f>$B17/12*$B$5</f>
        <v>5250.0000000000009</v>
      </c>
      <c r="D17" s="115">
        <f t="shared" si="4"/>
        <v>1245244.2528974819</v>
      </c>
      <c r="E17" s="115">
        <f t="shared" si="1"/>
        <v>1169148.6710639191</v>
      </c>
      <c r="F17" s="115">
        <f t="shared" si="1"/>
        <v>1099671.5123845267</v>
      </c>
      <c r="G17" s="115">
        <f t="shared" si="1"/>
        <v>1036146.0847965142</v>
      </c>
      <c r="H17" s="115">
        <f t="shared" si="1"/>
        <v>977978.48949189833</v>
      </c>
      <c r="I17" s="115">
        <f t="shared" si="1"/>
        <v>924639.25640424318</v>
      </c>
      <c r="J17" s="115">
        <f t="shared" si="1"/>
        <v>875655.97555975139</v>
      </c>
      <c r="K17" s="115">
        <f t="shared" si="1"/>
        <v>830606.80256963288</v>
      </c>
      <c r="L17" s="115">
        <f t="shared" si="1"/>
        <v>789114.73172606179</v>
      </c>
      <c r="M17" s="115">
        <f t="shared" si="1"/>
        <v>750842.54342295649</v>
      </c>
      <c r="N17" s="115">
        <f t="shared" si="1"/>
        <v>715488.34420330566</v>
      </c>
      <c r="O17" s="115">
        <f t="shared" si="1"/>
        <v>682781.6278532187</v>
      </c>
      <c r="P17" s="115">
        <f t="shared" si="1"/>
        <v>652479.79480550613</v>
      </c>
      <c r="Q17" s="115">
        <f t="shared" si="1"/>
        <v>624365.07484631613</v>
      </c>
      <c r="R17" s="115">
        <f t="shared" si="2"/>
        <v>598241.80487851996</v>
      </c>
    </row>
    <row r="18" spans="2:18" ht="15" customHeight="1">
      <c r="B18" s="116">
        <f t="shared" si="3"/>
        <v>250000</v>
      </c>
      <c r="C18" s="116">
        <f>$B18/12*$B$5</f>
        <v>5833.3333333333339</v>
      </c>
      <c r="D18" s="116">
        <f t="shared" si="4"/>
        <v>1383604.7254416463</v>
      </c>
      <c r="E18" s="116">
        <f t="shared" si="1"/>
        <v>1299054.07895991</v>
      </c>
      <c r="F18" s="116">
        <f t="shared" si="1"/>
        <v>1221857.2359828074</v>
      </c>
      <c r="G18" s="116">
        <f t="shared" si="1"/>
        <v>1151273.4275516823</v>
      </c>
      <c r="H18" s="116">
        <f t="shared" si="1"/>
        <v>1086642.7661021091</v>
      </c>
      <c r="I18" s="116">
        <f t="shared" si="1"/>
        <v>1027376.9515602703</v>
      </c>
      <c r="J18" s="116">
        <f t="shared" si="1"/>
        <v>972951.08395527909</v>
      </c>
      <c r="K18" s="116">
        <f t="shared" si="1"/>
        <v>922896.4472995922</v>
      </c>
      <c r="L18" s="116">
        <f t="shared" si="1"/>
        <v>876794.14636229083</v>
      </c>
      <c r="M18" s="116">
        <f t="shared" si="1"/>
        <v>834269.49269217381</v>
      </c>
      <c r="N18" s="116">
        <f t="shared" si="1"/>
        <v>794987.04911478411</v>
      </c>
      <c r="O18" s="116">
        <f t="shared" si="1"/>
        <v>758646.25317024277</v>
      </c>
      <c r="P18" s="116">
        <f t="shared" si="1"/>
        <v>724977.54978389561</v>
      </c>
      <c r="Q18" s="116">
        <f t="shared" si="1"/>
        <v>693738.97205146239</v>
      </c>
      <c r="R18" s="116">
        <f t="shared" si="2"/>
        <v>664713.11653168884</v>
      </c>
    </row>
    <row r="19" spans="2:18" ht="15" customHeight="1">
      <c r="B19" s="115">
        <f t="shared" si="3"/>
        <v>275000</v>
      </c>
      <c r="C19" s="115">
        <f>$B19/12*$B$5</f>
        <v>6416.6666666666679</v>
      </c>
      <c r="D19" s="115">
        <f t="shared" si="4"/>
        <v>1521965.1979858112</v>
      </c>
      <c r="E19" s="115">
        <f t="shared" si="1"/>
        <v>1428959.4868559011</v>
      </c>
      <c r="F19" s="115">
        <f t="shared" si="1"/>
        <v>1344042.9595810883</v>
      </c>
      <c r="G19" s="115">
        <f t="shared" si="1"/>
        <v>1266400.7703068508</v>
      </c>
      <c r="H19" s="115">
        <f t="shared" si="1"/>
        <v>1195307.0427123203</v>
      </c>
      <c r="I19" s="115">
        <f t="shared" si="1"/>
        <v>1130114.6467162971</v>
      </c>
      <c r="J19" s="115">
        <f t="shared" si="1"/>
        <v>1070246.1923508071</v>
      </c>
      <c r="K19" s="115">
        <f t="shared" si="1"/>
        <v>1015186.0920295515</v>
      </c>
      <c r="L19" s="115">
        <f t="shared" si="1"/>
        <v>964473.56099851988</v>
      </c>
      <c r="M19" s="115">
        <f t="shared" si="1"/>
        <v>917696.44196139136</v>
      </c>
      <c r="N19" s="115">
        <f t="shared" si="1"/>
        <v>874485.75402626256</v>
      </c>
      <c r="O19" s="115">
        <f t="shared" si="1"/>
        <v>834510.87848726718</v>
      </c>
      <c r="P19" s="115">
        <f t="shared" si="1"/>
        <v>797475.3047622852</v>
      </c>
      <c r="Q19" s="115">
        <f t="shared" si="1"/>
        <v>763112.86925660865</v>
      </c>
      <c r="R19" s="115">
        <f t="shared" si="2"/>
        <v>731184.42818485771</v>
      </c>
    </row>
    <row r="20" spans="2:18" ht="15" customHeight="1">
      <c r="B20" s="116">
        <f t="shared" si="3"/>
        <v>300000</v>
      </c>
      <c r="C20" s="116">
        <f>$B20/12*$B$5</f>
        <v>7000.0000000000009</v>
      </c>
      <c r="D20" s="116">
        <f t="shared" si="4"/>
        <v>1660325.6705299758</v>
      </c>
      <c r="E20" s="116">
        <f t="shared" si="1"/>
        <v>1558864.8947518922</v>
      </c>
      <c r="F20" s="116">
        <f t="shared" si="1"/>
        <v>1466228.6831793687</v>
      </c>
      <c r="G20" s="116">
        <f t="shared" si="1"/>
        <v>1381528.113062019</v>
      </c>
      <c r="H20" s="116">
        <f t="shared" si="1"/>
        <v>1303971.3193225311</v>
      </c>
      <c r="I20" s="116">
        <f t="shared" si="1"/>
        <v>1232852.3418723242</v>
      </c>
      <c r="J20" s="116">
        <f t="shared" si="1"/>
        <v>1167541.3007463349</v>
      </c>
      <c r="K20" s="116">
        <f t="shared" si="1"/>
        <v>1107475.7367595106</v>
      </c>
      <c r="L20" s="116">
        <f t="shared" si="1"/>
        <v>1052152.975634749</v>
      </c>
      <c r="M20" s="116">
        <f t="shared" si="1"/>
        <v>1001123.3912306087</v>
      </c>
      <c r="N20" s="116">
        <f t="shared" si="1"/>
        <v>953984.458937741</v>
      </c>
      <c r="O20" s="116">
        <f t="shared" si="1"/>
        <v>910375.50380429148</v>
      </c>
      <c r="P20" s="116">
        <f t="shared" si="1"/>
        <v>869973.0597406748</v>
      </c>
      <c r="Q20" s="116">
        <f t="shared" si="1"/>
        <v>832486.76646175492</v>
      </c>
      <c r="R20" s="116">
        <f t="shared" si="2"/>
        <v>797655.73983802658</v>
      </c>
    </row>
    <row r="21" spans="2:18" ht="15" customHeight="1">
      <c r="B21" s="115">
        <f t="shared" si="3"/>
        <v>325000</v>
      </c>
      <c r="C21" s="115">
        <f>$B21/12*$B$5</f>
        <v>7583.3333333333339</v>
      </c>
      <c r="D21" s="115">
        <f t="shared" si="4"/>
        <v>1798686.1430741404</v>
      </c>
      <c r="E21" s="115">
        <f t="shared" si="1"/>
        <v>1688770.3026478828</v>
      </c>
      <c r="F21" s="115">
        <f t="shared" si="1"/>
        <v>1588414.4067776494</v>
      </c>
      <c r="G21" s="115">
        <f t="shared" si="1"/>
        <v>1496655.4558171872</v>
      </c>
      <c r="H21" s="115">
        <f t="shared" si="1"/>
        <v>1412635.5959327419</v>
      </c>
      <c r="I21" s="115">
        <f t="shared" si="1"/>
        <v>1335590.0370283513</v>
      </c>
      <c r="J21" s="115">
        <f t="shared" si="1"/>
        <v>1264836.4091418628</v>
      </c>
      <c r="K21" s="115">
        <f t="shared" si="1"/>
        <v>1199765.3814894699</v>
      </c>
      <c r="L21" s="115">
        <f t="shared" si="1"/>
        <v>1139832.3902709782</v>
      </c>
      <c r="M21" s="115">
        <f t="shared" si="1"/>
        <v>1084550.340499826</v>
      </c>
      <c r="N21" s="115">
        <f t="shared" si="1"/>
        <v>1033483.1638492193</v>
      </c>
      <c r="O21" s="115">
        <f t="shared" si="1"/>
        <v>986240.12912131567</v>
      </c>
      <c r="P21" s="115">
        <f t="shared" si="1"/>
        <v>942470.81471906439</v>
      </c>
      <c r="Q21" s="115">
        <f t="shared" si="1"/>
        <v>901860.66366690106</v>
      </c>
      <c r="R21" s="115">
        <f t="shared" si="2"/>
        <v>864127.05149119545</v>
      </c>
    </row>
    <row r="22" spans="2:18" ht="15" customHeight="1">
      <c r="B22" s="116">
        <f t="shared" si="3"/>
        <v>350000</v>
      </c>
      <c r="C22" s="116">
        <f>$B22/12*$B$5</f>
        <v>8166.6666666666679</v>
      </c>
      <c r="D22" s="116">
        <f t="shared" si="4"/>
        <v>1937046.615618305</v>
      </c>
      <c r="E22" s="116">
        <f t="shared" si="1"/>
        <v>1818675.7105438742</v>
      </c>
      <c r="F22" s="116">
        <f t="shared" si="1"/>
        <v>1710600.1303759303</v>
      </c>
      <c r="G22" s="116">
        <f t="shared" si="1"/>
        <v>1611782.7985723554</v>
      </c>
      <c r="H22" s="116">
        <f t="shared" si="1"/>
        <v>1521299.8725429531</v>
      </c>
      <c r="I22" s="116">
        <f t="shared" si="1"/>
        <v>1438327.7321843782</v>
      </c>
      <c r="J22" s="116">
        <f t="shared" si="1"/>
        <v>1362131.5175373908</v>
      </c>
      <c r="K22" s="116">
        <f t="shared" si="1"/>
        <v>1292055.026219429</v>
      </c>
      <c r="L22" s="116">
        <f t="shared" si="1"/>
        <v>1227511.8049072071</v>
      </c>
      <c r="M22" s="116">
        <f t="shared" si="1"/>
        <v>1167977.2897690434</v>
      </c>
      <c r="N22" s="116">
        <f t="shared" si="1"/>
        <v>1112981.8687606978</v>
      </c>
      <c r="O22" s="116">
        <f t="shared" si="1"/>
        <v>1062104.75443834</v>
      </c>
      <c r="P22" s="116">
        <f t="shared" si="1"/>
        <v>1014968.569697454</v>
      </c>
      <c r="Q22" s="116">
        <f t="shared" si="1"/>
        <v>971234.56087204732</v>
      </c>
      <c r="R22" s="116">
        <f t="shared" si="2"/>
        <v>930598.36314436444</v>
      </c>
    </row>
    <row r="23" spans="2:18" ht="15" customHeight="1">
      <c r="B23" s="115">
        <f t="shared" si="3"/>
        <v>375000</v>
      </c>
      <c r="C23" s="115">
        <f>$B23/12*$B$5</f>
        <v>8750</v>
      </c>
      <c r="D23" s="115">
        <f t="shared" si="4"/>
        <v>2075407.0881624694</v>
      </c>
      <c r="E23" s="115">
        <f t="shared" si="1"/>
        <v>1948581.1184398648</v>
      </c>
      <c r="F23" s="115">
        <f t="shared" si="1"/>
        <v>1832785.8539742108</v>
      </c>
      <c r="G23" s="115">
        <f t="shared" si="1"/>
        <v>1726910.1413275234</v>
      </c>
      <c r="H23" s="115">
        <f t="shared" si="1"/>
        <v>1629964.1491531637</v>
      </c>
      <c r="I23" s="115">
        <f t="shared" si="1"/>
        <v>1541065.4273404051</v>
      </c>
      <c r="J23" s="115">
        <f t="shared" si="1"/>
        <v>1459426.6259329186</v>
      </c>
      <c r="K23" s="115">
        <f t="shared" si="1"/>
        <v>1384344.6709493881</v>
      </c>
      <c r="L23" s="115">
        <f t="shared" si="1"/>
        <v>1315191.2195434361</v>
      </c>
      <c r="M23" s="115">
        <f t="shared" si="1"/>
        <v>1251404.2390382607</v>
      </c>
      <c r="N23" s="115">
        <f t="shared" si="1"/>
        <v>1192480.5736721761</v>
      </c>
      <c r="O23" s="115">
        <f t="shared" si="1"/>
        <v>1137969.379755364</v>
      </c>
      <c r="P23" s="115">
        <f t="shared" si="1"/>
        <v>1087466.3246758434</v>
      </c>
      <c r="Q23" s="115">
        <f t="shared" si="1"/>
        <v>1040608.4580771934</v>
      </c>
      <c r="R23" s="115">
        <f t="shared" si="2"/>
        <v>997069.67479753308</v>
      </c>
    </row>
    <row r="24" spans="2:18" ht="15" customHeight="1">
      <c r="B24" s="116">
        <f t="shared" si="3"/>
        <v>400000</v>
      </c>
      <c r="C24" s="116">
        <f>$B24/12*$B$5</f>
        <v>9333.3333333333358</v>
      </c>
      <c r="D24" s="116">
        <f t="shared" si="4"/>
        <v>2213767.560706635</v>
      </c>
      <c r="E24" s="116">
        <f t="shared" si="1"/>
        <v>2078486.5263358562</v>
      </c>
      <c r="F24" s="116">
        <f t="shared" si="1"/>
        <v>1954971.577572492</v>
      </c>
      <c r="G24" s="116">
        <f t="shared" si="1"/>
        <v>1842037.4840826921</v>
      </c>
      <c r="H24" s="116">
        <f t="shared" si="1"/>
        <v>1738628.4257633749</v>
      </c>
      <c r="I24" s="116">
        <f t="shared" si="1"/>
        <v>1643803.1224964324</v>
      </c>
      <c r="J24" s="116">
        <f t="shared" si="1"/>
        <v>1556721.7343284469</v>
      </c>
      <c r="K24" s="116">
        <f t="shared" si="1"/>
        <v>1476634.3156793476</v>
      </c>
      <c r="L24" s="116">
        <f t="shared" si="1"/>
        <v>1402870.6341796655</v>
      </c>
      <c r="M24" s="116">
        <f t="shared" si="1"/>
        <v>1334831.1883074783</v>
      </c>
      <c r="N24" s="116">
        <f t="shared" si="1"/>
        <v>1271979.2785836547</v>
      </c>
      <c r="O24" s="116">
        <f t="shared" si="1"/>
        <v>1213834.0050723888</v>
      </c>
      <c r="P24" s="116">
        <f t="shared" si="1"/>
        <v>1159964.0796542333</v>
      </c>
      <c r="Q24" s="116">
        <f t="shared" ref="Q24:Q28" si="5">-PV(Q$8/12,360,$C24,0,0)</f>
        <v>1109982.35528234</v>
      </c>
      <c r="R24" s="116">
        <f t="shared" si="2"/>
        <v>1063540.9864507024</v>
      </c>
    </row>
    <row r="25" spans="2:18" ht="15" customHeight="1">
      <c r="B25" s="115">
        <f t="shared" si="3"/>
        <v>425000</v>
      </c>
      <c r="C25" s="115">
        <f>$B25/12*$B$5</f>
        <v>9916.6666666666661</v>
      </c>
      <c r="D25" s="115">
        <f t="shared" si="4"/>
        <v>2352128.0332507989</v>
      </c>
      <c r="E25" s="115">
        <f t="shared" si="1"/>
        <v>2208391.9342318466</v>
      </c>
      <c r="F25" s="115">
        <f t="shared" si="1"/>
        <v>2077157.3011707722</v>
      </c>
      <c r="G25" s="115">
        <f t="shared" si="1"/>
        <v>1957164.8268378598</v>
      </c>
      <c r="H25" s="115">
        <f t="shared" si="1"/>
        <v>1847292.7023735854</v>
      </c>
      <c r="I25" s="115">
        <f t="shared" si="1"/>
        <v>1746540.817652459</v>
      </c>
      <c r="J25" s="115">
        <f t="shared" si="1"/>
        <v>1654016.842723974</v>
      </c>
      <c r="K25" s="115">
        <f t="shared" si="1"/>
        <v>1568923.9604093062</v>
      </c>
      <c r="L25" s="115">
        <f t="shared" si="1"/>
        <v>1490550.0488158942</v>
      </c>
      <c r="M25" s="115">
        <f t="shared" si="1"/>
        <v>1418258.1375766953</v>
      </c>
      <c r="N25" s="115">
        <f t="shared" si="1"/>
        <v>1351477.9834951328</v>
      </c>
      <c r="O25" s="115">
        <f t="shared" si="1"/>
        <v>1289698.6303894126</v>
      </c>
      <c r="P25" s="115">
        <f t="shared" si="1"/>
        <v>1232461.8346326225</v>
      </c>
      <c r="Q25" s="115">
        <f t="shared" si="5"/>
        <v>1179356.2524874858</v>
      </c>
      <c r="R25" s="115">
        <f t="shared" si="2"/>
        <v>1130012.2981038708</v>
      </c>
    </row>
    <row r="26" spans="2:18" ht="15" customHeight="1">
      <c r="B26" s="116">
        <f t="shared" si="3"/>
        <v>450000</v>
      </c>
      <c r="C26" s="116">
        <f>$B26/12*$B$5</f>
        <v>10500.000000000002</v>
      </c>
      <c r="D26" s="116">
        <f t="shared" si="4"/>
        <v>2490488.5057949638</v>
      </c>
      <c r="E26" s="116">
        <f t="shared" si="1"/>
        <v>2338297.3421278382</v>
      </c>
      <c r="F26" s="116">
        <f t="shared" si="1"/>
        <v>2199343.0247690533</v>
      </c>
      <c r="G26" s="116">
        <f t="shared" si="1"/>
        <v>2072292.1695930285</v>
      </c>
      <c r="H26" s="116">
        <f t="shared" si="1"/>
        <v>1955956.9789837967</v>
      </c>
      <c r="I26" s="116">
        <f t="shared" si="1"/>
        <v>1849278.5128084864</v>
      </c>
      <c r="J26" s="116">
        <f t="shared" si="1"/>
        <v>1751311.9511195028</v>
      </c>
      <c r="K26" s="116">
        <f t="shared" si="1"/>
        <v>1661213.6051392658</v>
      </c>
      <c r="L26" s="116">
        <f t="shared" si="1"/>
        <v>1578229.4634521236</v>
      </c>
      <c r="M26" s="116">
        <f t="shared" si="1"/>
        <v>1501685.086845913</v>
      </c>
      <c r="N26" s="116">
        <f t="shared" si="1"/>
        <v>1430976.6884066113</v>
      </c>
      <c r="O26" s="116">
        <f t="shared" si="1"/>
        <v>1365563.2557064374</v>
      </c>
      <c r="P26" s="116">
        <f t="shared" si="1"/>
        <v>1304959.5896110123</v>
      </c>
      <c r="Q26" s="116">
        <f t="shared" si="5"/>
        <v>1248730.1496926323</v>
      </c>
      <c r="R26" s="116">
        <f t="shared" si="2"/>
        <v>1196483.6097570399</v>
      </c>
    </row>
    <row r="27" spans="2:18" ht="15" customHeight="1">
      <c r="B27" s="115">
        <f t="shared" ref="B27" si="6">B26+25000</f>
        <v>475000</v>
      </c>
      <c r="C27" s="115">
        <f>$B27/12*$B$5</f>
        <v>11083.333333333336</v>
      </c>
      <c r="D27" s="115">
        <f t="shared" si="4"/>
        <v>2628848.9783391287</v>
      </c>
      <c r="E27" s="115">
        <f t="shared" si="1"/>
        <v>2468202.7500238293</v>
      </c>
      <c r="F27" s="115">
        <f t="shared" si="1"/>
        <v>2321528.7483673343</v>
      </c>
      <c r="G27" s="115">
        <f t="shared" si="1"/>
        <v>2187419.5123481969</v>
      </c>
      <c r="H27" s="115">
        <f t="shared" si="1"/>
        <v>2064621.2555940077</v>
      </c>
      <c r="I27" s="115">
        <f t="shared" si="1"/>
        <v>1952016.2079645135</v>
      </c>
      <c r="J27" s="115">
        <f t="shared" si="1"/>
        <v>1848607.0595150306</v>
      </c>
      <c r="K27" s="115">
        <f t="shared" si="1"/>
        <v>1753503.2498692253</v>
      </c>
      <c r="L27" s="115">
        <f t="shared" si="1"/>
        <v>1665908.8780883527</v>
      </c>
      <c r="M27" s="115">
        <f t="shared" si="1"/>
        <v>1585112.0361151304</v>
      </c>
      <c r="N27" s="115">
        <f t="shared" si="1"/>
        <v>1510475.3933180899</v>
      </c>
      <c r="O27" s="115">
        <f t="shared" si="1"/>
        <v>1441427.8810234615</v>
      </c>
      <c r="P27" s="115">
        <f t="shared" si="1"/>
        <v>1377457.344589402</v>
      </c>
      <c r="Q27" s="115">
        <f t="shared" si="5"/>
        <v>1318104.0468977785</v>
      </c>
      <c r="R27" s="115">
        <f t="shared" si="2"/>
        <v>1262954.9214102088</v>
      </c>
    </row>
    <row r="28" spans="2:18" ht="15" customHeight="1">
      <c r="B28" s="116">
        <f t="shared" ref="B28" si="7">B27+25000</f>
        <v>500000</v>
      </c>
      <c r="C28" s="116">
        <f>$B28/12*$B$5</f>
        <v>11666.666666666668</v>
      </c>
      <c r="D28" s="116">
        <f t="shared" si="4"/>
        <v>2767209.4508832926</v>
      </c>
      <c r="E28" s="116">
        <f t="shared" si="1"/>
        <v>2598108.1579198199</v>
      </c>
      <c r="F28" s="116">
        <f t="shared" si="1"/>
        <v>2443714.4719656147</v>
      </c>
      <c r="G28" s="116">
        <f t="shared" si="1"/>
        <v>2302546.8551033647</v>
      </c>
      <c r="H28" s="116">
        <f t="shared" si="1"/>
        <v>2173285.5322042182</v>
      </c>
      <c r="I28" s="116">
        <f t="shared" si="1"/>
        <v>2054753.9031205405</v>
      </c>
      <c r="J28" s="116">
        <f t="shared" si="1"/>
        <v>1945902.1679105582</v>
      </c>
      <c r="K28" s="116">
        <f t="shared" si="1"/>
        <v>1845792.8945991844</v>
      </c>
      <c r="L28" s="116">
        <f t="shared" si="1"/>
        <v>1753588.2927245817</v>
      </c>
      <c r="M28" s="116">
        <f t="shared" si="1"/>
        <v>1668538.9853843476</v>
      </c>
      <c r="N28" s="116">
        <f t="shared" si="1"/>
        <v>1589974.0982295682</v>
      </c>
      <c r="O28" s="116">
        <f t="shared" si="1"/>
        <v>1517292.5063404855</v>
      </c>
      <c r="P28" s="116">
        <f t="shared" si="1"/>
        <v>1449955.0995677912</v>
      </c>
      <c r="Q28" s="116">
        <f t="shared" si="5"/>
        <v>1387477.9441029248</v>
      </c>
      <c r="R28" s="116">
        <f t="shared" si="2"/>
        <v>1329426.2330633777</v>
      </c>
    </row>
    <row r="30" spans="2:18">
      <c r="B30" s="31" t="s">
        <v>155</v>
      </c>
      <c r="D30" s="123" t="s">
        <v>158</v>
      </c>
    </row>
    <row r="31" spans="2:18">
      <c r="B31" s="31"/>
      <c r="D31" s="123" t="s">
        <v>156</v>
      </c>
    </row>
    <row r="32" spans="2:18">
      <c r="B32" s="31" t="s">
        <v>154</v>
      </c>
      <c r="D32" s="123" t="s">
        <v>159</v>
      </c>
    </row>
    <row r="33" spans="2:6">
      <c r="D33" s="124" t="s">
        <v>157</v>
      </c>
    </row>
    <row r="36" spans="2:6" ht="18">
      <c r="B36" s="127" t="s">
        <v>140</v>
      </c>
    </row>
    <row r="37" spans="2:6">
      <c r="B37" s="125" t="s">
        <v>172</v>
      </c>
      <c r="C37" s="125"/>
      <c r="D37" s="125"/>
      <c r="E37" s="125"/>
      <c r="F37" s="125"/>
    </row>
  </sheetData>
  <phoneticPr fontId="4" type="noConversion"/>
  <printOptions horizontalCentered="1"/>
  <pageMargins left="0" right="0" top="1" bottom="1" header="0.5" footer="0.5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30"/>
  <sheetViews>
    <sheetView workbookViewId="0">
      <selection activeCell="G14" sqref="G14"/>
    </sheetView>
  </sheetViews>
  <sheetFormatPr defaultRowHeight="12.75"/>
  <cols>
    <col min="1" max="1" width="1.7109375" customWidth="1"/>
    <col min="2" max="2" width="10.7109375" customWidth="1"/>
    <col min="6" max="6" width="1.7109375" customWidth="1"/>
    <col min="7" max="15" width="15.7109375" customWidth="1"/>
    <col min="16" max="17" width="14.42578125" bestFit="1" customWidth="1"/>
  </cols>
  <sheetData>
    <row r="2" spans="2:17">
      <c r="B2" s="44" t="s">
        <v>52</v>
      </c>
      <c r="C2" s="33" t="s">
        <v>51</v>
      </c>
      <c r="D2" s="34"/>
      <c r="E2" s="35"/>
      <c r="G2" s="26" t="s">
        <v>166</v>
      </c>
    </row>
    <row r="3" spans="2:17">
      <c r="B3" s="32" t="s">
        <v>162</v>
      </c>
      <c r="C3" s="40">
        <v>1.7</v>
      </c>
      <c r="D3" s="40">
        <v>1.6</v>
      </c>
      <c r="E3" s="40">
        <v>1.5</v>
      </c>
      <c r="G3" s="129">
        <v>0.5</v>
      </c>
      <c r="H3" s="130">
        <f>G3+0.01</f>
        <v>0.51</v>
      </c>
      <c r="I3" s="130">
        <f t="shared" ref="I3:L3" si="0">H3+0.01</f>
        <v>0.52</v>
      </c>
      <c r="J3" s="130">
        <f t="shared" si="0"/>
        <v>0.53</v>
      </c>
      <c r="K3" s="130">
        <f t="shared" si="0"/>
        <v>0.54</v>
      </c>
      <c r="L3" s="130">
        <f t="shared" si="0"/>
        <v>0.55000000000000004</v>
      </c>
      <c r="M3" s="130">
        <f t="shared" ref="M3:N3" si="1">L3+0.01</f>
        <v>0.56000000000000005</v>
      </c>
      <c r="N3" s="130">
        <f t="shared" si="1"/>
        <v>0.57000000000000006</v>
      </c>
      <c r="O3" s="130">
        <f t="shared" ref="O3:Q3" si="2">N3+0.01</f>
        <v>0.58000000000000007</v>
      </c>
      <c r="P3" s="130">
        <f t="shared" si="2"/>
        <v>0.59000000000000008</v>
      </c>
      <c r="Q3" s="130">
        <f t="shared" si="2"/>
        <v>0.60000000000000009</v>
      </c>
    </row>
    <row r="4" spans="2:17">
      <c r="B4" s="41">
        <v>0.1</v>
      </c>
      <c r="C4" s="37">
        <f>$B4/C$3</f>
        <v>5.8823529411764712E-2</v>
      </c>
      <c r="D4" s="37">
        <f>$B4/D$3</f>
        <v>6.25E-2</v>
      </c>
      <c r="E4" s="37">
        <f>$B4/E$3</f>
        <v>6.6666666666666666E-2</v>
      </c>
      <c r="G4" s="45" t="str">
        <f t="shared" ref="G4:Q4" si="3">TEXT($B4*G$3,"0.00%")&amp;" / "&amp;TEXT($B4*(1-G$3),"0.00%")</f>
        <v>5.00% / 5.00%</v>
      </c>
      <c r="H4" s="45" t="str">
        <f t="shared" si="3"/>
        <v>5.10% / 4.90%</v>
      </c>
      <c r="I4" s="45" t="str">
        <f t="shared" si="3"/>
        <v>5.20% / 4.80%</v>
      </c>
      <c r="J4" s="45" t="str">
        <f t="shared" si="3"/>
        <v>5.30% / 4.70%</v>
      </c>
      <c r="K4" s="45" t="str">
        <f t="shared" si="3"/>
        <v>5.40% / 4.60%</v>
      </c>
      <c r="L4" s="45" t="str">
        <f t="shared" si="3"/>
        <v>5.50% / 4.50%</v>
      </c>
      <c r="M4" s="45" t="str">
        <f t="shared" si="3"/>
        <v>5.60% / 4.40%</v>
      </c>
      <c r="N4" s="45" t="str">
        <f t="shared" si="3"/>
        <v>5.70% / 4.30%</v>
      </c>
      <c r="O4" s="45" t="str">
        <f t="shared" si="3"/>
        <v>5.80% / 4.20%</v>
      </c>
      <c r="P4" s="45" t="str">
        <f t="shared" si="3"/>
        <v>5.90% / 4.10%</v>
      </c>
      <c r="Q4" s="45" t="str">
        <f t="shared" si="3"/>
        <v>6.00% / 4.00%</v>
      </c>
    </row>
    <row r="5" spans="2:17">
      <c r="B5" s="42">
        <f>B4+0.5%</f>
        <v>0.10500000000000001</v>
      </c>
      <c r="C5" s="38">
        <f t="shared" ref="C5:E24" si="4">$B5/C$3</f>
        <v>6.1764705882352951E-2</v>
      </c>
      <c r="D5" s="38">
        <f t="shared" si="4"/>
        <v>6.5625000000000003E-2</v>
      </c>
      <c r="E5" s="38">
        <f t="shared" si="4"/>
        <v>7.0000000000000007E-2</v>
      </c>
      <c r="G5" s="45" t="str">
        <f t="shared" ref="G5:Q24" si="5">TEXT($B5*G$3,"0.00%")&amp;" / "&amp;TEXT($B5*(1-G$3),"0.00%")</f>
        <v>5.25% / 5.25%</v>
      </c>
      <c r="H5" s="45" t="str">
        <f t="shared" si="5"/>
        <v>5.36% / 5.15%</v>
      </c>
      <c r="I5" s="45" t="str">
        <f t="shared" si="5"/>
        <v>5.46% / 5.04%</v>
      </c>
      <c r="J5" s="45" t="str">
        <f t="shared" si="5"/>
        <v>5.57% / 4.94%</v>
      </c>
      <c r="K5" s="45" t="str">
        <f t="shared" si="5"/>
        <v>5.67% / 4.83%</v>
      </c>
      <c r="L5" s="45" t="str">
        <f t="shared" si="5"/>
        <v>5.78% / 4.73%</v>
      </c>
      <c r="M5" s="45" t="str">
        <f t="shared" si="5"/>
        <v>5.88% / 4.62%</v>
      </c>
      <c r="N5" s="45" t="str">
        <f t="shared" si="5"/>
        <v>5.99% / 4.52%</v>
      </c>
      <c r="O5" s="45" t="str">
        <f t="shared" si="5"/>
        <v>6.09% / 4.41%</v>
      </c>
      <c r="P5" s="45" t="str">
        <f t="shared" si="5"/>
        <v>6.20% / 4.31%</v>
      </c>
      <c r="Q5" s="45" t="str">
        <f t="shared" si="5"/>
        <v>6.30% / 4.20%</v>
      </c>
    </row>
    <row r="6" spans="2:17">
      <c r="B6" s="42">
        <f t="shared" ref="B6:B24" si="6">B5+0.5%</f>
        <v>0.11000000000000001</v>
      </c>
      <c r="C6" s="38">
        <f t="shared" si="4"/>
        <v>6.4705882352941183E-2</v>
      </c>
      <c r="D6" s="38">
        <f t="shared" si="4"/>
        <v>6.8750000000000006E-2</v>
      </c>
      <c r="E6" s="38">
        <f t="shared" si="4"/>
        <v>7.3333333333333348E-2</v>
      </c>
      <c r="G6" s="45" t="str">
        <f t="shared" si="5"/>
        <v>5.50% / 5.50%</v>
      </c>
      <c r="H6" s="45" t="str">
        <f t="shared" si="5"/>
        <v>5.61% / 5.39%</v>
      </c>
      <c r="I6" s="45" t="str">
        <f t="shared" si="5"/>
        <v>5.72% / 5.28%</v>
      </c>
      <c r="J6" s="45" t="str">
        <f t="shared" si="5"/>
        <v>5.83% / 5.17%</v>
      </c>
      <c r="K6" s="45" t="str">
        <f t="shared" si="5"/>
        <v>5.94% / 5.06%</v>
      </c>
      <c r="L6" s="45" t="str">
        <f t="shared" si="5"/>
        <v>6.05% / 4.95%</v>
      </c>
      <c r="M6" s="45" t="str">
        <f t="shared" si="5"/>
        <v>6.16% / 4.84%</v>
      </c>
      <c r="N6" s="45" t="str">
        <f t="shared" si="5"/>
        <v>6.27% / 4.73%</v>
      </c>
      <c r="O6" s="45" t="str">
        <f t="shared" si="5"/>
        <v>6.38% / 4.62%</v>
      </c>
      <c r="P6" s="45" t="str">
        <f t="shared" si="5"/>
        <v>6.49% / 4.51%</v>
      </c>
      <c r="Q6" s="45" t="str">
        <f t="shared" si="5"/>
        <v>6.60% / 4.40%</v>
      </c>
    </row>
    <row r="7" spans="2:17">
      <c r="B7" s="42">
        <f t="shared" si="6"/>
        <v>0.11500000000000002</v>
      </c>
      <c r="C7" s="38">
        <f t="shared" si="4"/>
        <v>6.7647058823529421E-2</v>
      </c>
      <c r="D7" s="38">
        <f t="shared" si="4"/>
        <v>7.1875000000000008E-2</v>
      </c>
      <c r="E7" s="38">
        <f t="shared" si="4"/>
        <v>7.6666666666666675E-2</v>
      </c>
      <c r="G7" s="45" t="str">
        <f t="shared" si="5"/>
        <v>5.75% / 5.75%</v>
      </c>
      <c r="H7" s="45" t="str">
        <f t="shared" si="5"/>
        <v>5.87% / 5.64%</v>
      </c>
      <c r="I7" s="45" t="str">
        <f t="shared" si="5"/>
        <v>5.98% / 5.52%</v>
      </c>
      <c r="J7" s="45" t="str">
        <f t="shared" si="5"/>
        <v>6.10% / 5.41%</v>
      </c>
      <c r="K7" s="45" t="str">
        <f t="shared" si="5"/>
        <v>6.21% / 5.29%</v>
      </c>
      <c r="L7" s="45" t="str">
        <f t="shared" si="5"/>
        <v>6.33% / 5.18%</v>
      </c>
      <c r="M7" s="45" t="str">
        <f t="shared" si="5"/>
        <v>6.44% / 5.06%</v>
      </c>
      <c r="N7" s="45" t="str">
        <f t="shared" si="5"/>
        <v>6.56% / 4.95%</v>
      </c>
      <c r="O7" s="45" t="str">
        <f t="shared" si="5"/>
        <v>6.67% / 4.83%</v>
      </c>
      <c r="P7" s="45" t="str">
        <f t="shared" si="5"/>
        <v>6.79% / 4.72%</v>
      </c>
      <c r="Q7" s="45" t="str">
        <f t="shared" si="5"/>
        <v>6.90% / 4.60%</v>
      </c>
    </row>
    <row r="8" spans="2:17">
      <c r="B8" s="42">
        <f t="shared" si="6"/>
        <v>0.12000000000000002</v>
      </c>
      <c r="C8" s="38">
        <f t="shared" si="4"/>
        <v>7.058823529411766E-2</v>
      </c>
      <c r="D8" s="38">
        <f t="shared" si="4"/>
        <v>7.5000000000000011E-2</v>
      </c>
      <c r="E8" s="38">
        <f t="shared" si="4"/>
        <v>8.0000000000000016E-2</v>
      </c>
      <c r="G8" s="45" t="str">
        <f t="shared" si="5"/>
        <v>6.00% / 6.00%</v>
      </c>
      <c r="H8" s="45" t="str">
        <f t="shared" si="5"/>
        <v>6.12% / 5.88%</v>
      </c>
      <c r="I8" s="45" t="str">
        <f t="shared" si="5"/>
        <v>6.24% / 5.76%</v>
      </c>
      <c r="J8" s="45" t="str">
        <f t="shared" si="5"/>
        <v>6.36% / 5.64%</v>
      </c>
      <c r="K8" s="45" t="str">
        <f t="shared" si="5"/>
        <v>6.48% / 5.52%</v>
      </c>
      <c r="L8" s="45" t="str">
        <f t="shared" si="5"/>
        <v>6.60% / 5.40%</v>
      </c>
      <c r="M8" s="45" t="str">
        <f t="shared" si="5"/>
        <v>6.72% / 5.28%</v>
      </c>
      <c r="N8" s="45" t="str">
        <f t="shared" si="5"/>
        <v>6.84% / 5.16%</v>
      </c>
      <c r="O8" s="45" t="str">
        <f t="shared" si="5"/>
        <v>6.96% / 5.04%</v>
      </c>
      <c r="P8" s="45" t="str">
        <f t="shared" si="5"/>
        <v>7.08% / 4.92%</v>
      </c>
      <c r="Q8" s="45" t="str">
        <f t="shared" si="5"/>
        <v>7.20% / 4.80%</v>
      </c>
    </row>
    <row r="9" spans="2:17">
      <c r="B9" s="42">
        <f t="shared" si="6"/>
        <v>0.12500000000000003</v>
      </c>
      <c r="C9" s="38">
        <f t="shared" si="4"/>
        <v>7.3529411764705899E-2</v>
      </c>
      <c r="D9" s="38">
        <f t="shared" si="4"/>
        <v>7.8125000000000014E-2</v>
      </c>
      <c r="E9" s="38">
        <f t="shared" si="4"/>
        <v>8.3333333333333356E-2</v>
      </c>
      <c r="G9" s="45" t="str">
        <f t="shared" si="5"/>
        <v>6.25% / 6.25%</v>
      </c>
      <c r="H9" s="45" t="str">
        <f t="shared" si="5"/>
        <v>6.38% / 6.13%</v>
      </c>
      <c r="I9" s="45" t="str">
        <f t="shared" si="5"/>
        <v>6.50% / 6.00%</v>
      </c>
      <c r="J9" s="45" t="str">
        <f t="shared" si="5"/>
        <v>6.63% / 5.88%</v>
      </c>
      <c r="K9" s="45" t="str">
        <f t="shared" si="5"/>
        <v>6.75% / 5.75%</v>
      </c>
      <c r="L9" s="45" t="str">
        <f t="shared" si="5"/>
        <v>6.88% / 5.63%</v>
      </c>
      <c r="M9" s="45" t="str">
        <f t="shared" si="5"/>
        <v>7.00% / 5.50%</v>
      </c>
      <c r="N9" s="45" t="str">
        <f t="shared" si="5"/>
        <v>7.13% / 5.38%</v>
      </c>
      <c r="O9" s="45" t="str">
        <f t="shared" si="5"/>
        <v>7.25% / 5.25%</v>
      </c>
      <c r="P9" s="45" t="str">
        <f t="shared" si="5"/>
        <v>7.38% / 5.13%</v>
      </c>
      <c r="Q9" s="45" t="str">
        <f t="shared" si="5"/>
        <v>7.50% / 5.00%</v>
      </c>
    </row>
    <row r="10" spans="2:17">
      <c r="B10" s="42">
        <f t="shared" si="6"/>
        <v>0.13000000000000003</v>
      </c>
      <c r="C10" s="38">
        <f t="shared" si="4"/>
        <v>7.6470588235294137E-2</v>
      </c>
      <c r="D10" s="38">
        <f t="shared" si="4"/>
        <v>8.1250000000000017E-2</v>
      </c>
      <c r="E10" s="38">
        <f t="shared" si="4"/>
        <v>8.6666666666666684E-2</v>
      </c>
      <c r="G10" s="45" t="str">
        <f t="shared" si="5"/>
        <v>6.50% / 6.50%</v>
      </c>
      <c r="H10" s="45" t="str">
        <f t="shared" si="5"/>
        <v>6.63% / 6.37%</v>
      </c>
      <c r="I10" s="45" t="str">
        <f t="shared" si="5"/>
        <v>6.76% / 6.24%</v>
      </c>
      <c r="J10" s="45" t="str">
        <f t="shared" si="5"/>
        <v>6.89% / 6.11%</v>
      </c>
      <c r="K10" s="45" t="str">
        <f t="shared" si="5"/>
        <v>7.02% / 5.98%</v>
      </c>
      <c r="L10" s="45" t="str">
        <f t="shared" si="5"/>
        <v>7.15% / 5.85%</v>
      </c>
      <c r="M10" s="45" t="str">
        <f t="shared" si="5"/>
        <v>7.28% / 5.72%</v>
      </c>
      <c r="N10" s="45" t="str">
        <f t="shared" si="5"/>
        <v>7.41% / 5.59%</v>
      </c>
      <c r="O10" s="45" t="str">
        <f t="shared" si="5"/>
        <v>7.54% / 5.46%</v>
      </c>
      <c r="P10" s="45" t="str">
        <f t="shared" si="5"/>
        <v>7.67% / 5.33%</v>
      </c>
      <c r="Q10" s="45" t="str">
        <f t="shared" si="5"/>
        <v>7.80% / 5.20%</v>
      </c>
    </row>
    <row r="11" spans="2:17">
      <c r="B11" s="42">
        <f t="shared" si="6"/>
        <v>0.13500000000000004</v>
      </c>
      <c r="C11" s="38">
        <f t="shared" si="4"/>
        <v>7.9411764705882376E-2</v>
      </c>
      <c r="D11" s="38">
        <f t="shared" si="4"/>
        <v>8.4375000000000019E-2</v>
      </c>
      <c r="E11" s="38">
        <f t="shared" si="4"/>
        <v>9.0000000000000024E-2</v>
      </c>
      <c r="G11" s="45" t="str">
        <f t="shared" si="5"/>
        <v>6.75% / 6.75%</v>
      </c>
      <c r="H11" s="45" t="str">
        <f t="shared" si="5"/>
        <v>6.89% / 6.62%</v>
      </c>
      <c r="I11" s="45" t="str">
        <f t="shared" si="5"/>
        <v>7.02% / 6.48%</v>
      </c>
      <c r="J11" s="45" t="str">
        <f t="shared" si="5"/>
        <v>7.16% / 6.35%</v>
      </c>
      <c r="K11" s="45" t="str">
        <f t="shared" si="5"/>
        <v>7.29% / 6.21%</v>
      </c>
      <c r="L11" s="45" t="str">
        <f t="shared" si="5"/>
        <v>7.43% / 6.08%</v>
      </c>
      <c r="M11" s="45" t="str">
        <f t="shared" si="5"/>
        <v>7.56% / 5.94%</v>
      </c>
      <c r="N11" s="45" t="str">
        <f t="shared" si="5"/>
        <v>7.70% / 5.81%</v>
      </c>
      <c r="O11" s="45" t="str">
        <f t="shared" si="5"/>
        <v>7.83% / 5.67%</v>
      </c>
      <c r="P11" s="45" t="str">
        <f t="shared" si="5"/>
        <v>7.97% / 5.54%</v>
      </c>
      <c r="Q11" s="45" t="str">
        <f t="shared" si="5"/>
        <v>8.10% / 5.40%</v>
      </c>
    </row>
    <row r="12" spans="2:17">
      <c r="B12" s="42">
        <f t="shared" si="6"/>
        <v>0.14000000000000004</v>
      </c>
      <c r="C12" s="38">
        <f t="shared" si="4"/>
        <v>8.2352941176470615E-2</v>
      </c>
      <c r="D12" s="38">
        <f t="shared" si="4"/>
        <v>8.7500000000000022E-2</v>
      </c>
      <c r="E12" s="38">
        <f t="shared" si="4"/>
        <v>9.3333333333333365E-2</v>
      </c>
      <c r="G12" s="45" t="str">
        <f t="shared" si="5"/>
        <v>7.00% / 7.00%</v>
      </c>
      <c r="H12" s="45" t="str">
        <f t="shared" si="5"/>
        <v>7.14% / 6.86%</v>
      </c>
      <c r="I12" s="45" t="str">
        <f t="shared" si="5"/>
        <v>7.28% / 6.72%</v>
      </c>
      <c r="J12" s="45" t="str">
        <f t="shared" si="5"/>
        <v>7.42% / 6.58%</v>
      </c>
      <c r="K12" s="45" t="str">
        <f t="shared" si="5"/>
        <v>7.56% / 6.44%</v>
      </c>
      <c r="L12" s="45" t="str">
        <f t="shared" si="5"/>
        <v>7.70% / 6.30%</v>
      </c>
      <c r="M12" s="45" t="str">
        <f t="shared" si="5"/>
        <v>7.84% / 6.16%</v>
      </c>
      <c r="N12" s="45" t="str">
        <f t="shared" si="5"/>
        <v>7.98% / 6.02%</v>
      </c>
      <c r="O12" s="45" t="str">
        <f t="shared" si="5"/>
        <v>8.12% / 5.88%</v>
      </c>
      <c r="P12" s="45" t="str">
        <f t="shared" si="5"/>
        <v>8.26% / 5.74%</v>
      </c>
      <c r="Q12" s="45" t="str">
        <f t="shared" si="5"/>
        <v>8.40% / 5.60%</v>
      </c>
    </row>
    <row r="13" spans="2:17">
      <c r="B13" s="42">
        <f t="shared" si="6"/>
        <v>0.14500000000000005</v>
      </c>
      <c r="C13" s="38">
        <f t="shared" si="4"/>
        <v>8.5294117647058854E-2</v>
      </c>
      <c r="D13" s="38">
        <f t="shared" si="4"/>
        <v>9.0625000000000025E-2</v>
      </c>
      <c r="E13" s="38">
        <f t="shared" si="4"/>
        <v>9.6666666666666692E-2</v>
      </c>
      <c r="G13" s="45" t="str">
        <f t="shared" si="5"/>
        <v>7.25% / 7.25%</v>
      </c>
      <c r="H13" s="45" t="str">
        <f t="shared" si="5"/>
        <v>7.40% / 7.11%</v>
      </c>
      <c r="I13" s="45" t="str">
        <f t="shared" si="5"/>
        <v>7.54% / 6.96%</v>
      </c>
      <c r="J13" s="45" t="str">
        <f t="shared" si="5"/>
        <v>7.69% / 6.82%</v>
      </c>
      <c r="K13" s="45" t="str">
        <f t="shared" si="5"/>
        <v>7.83% / 6.67%</v>
      </c>
      <c r="L13" s="45" t="str">
        <f t="shared" si="5"/>
        <v>7.98% / 6.53%</v>
      </c>
      <c r="M13" s="45" t="str">
        <f t="shared" si="5"/>
        <v>8.12% / 6.38%</v>
      </c>
      <c r="N13" s="45" t="str">
        <f t="shared" si="5"/>
        <v>8.27% / 6.24%</v>
      </c>
      <c r="O13" s="45" t="str">
        <f t="shared" si="5"/>
        <v>8.41% / 6.09%</v>
      </c>
      <c r="P13" s="45" t="str">
        <f t="shared" si="5"/>
        <v>8.56% / 5.95%</v>
      </c>
      <c r="Q13" s="45" t="str">
        <f t="shared" si="5"/>
        <v>8.70% / 5.80%</v>
      </c>
    </row>
    <row r="14" spans="2:17">
      <c r="B14" s="42">
        <f t="shared" si="6"/>
        <v>0.15000000000000005</v>
      </c>
      <c r="C14" s="38">
        <f t="shared" si="4"/>
        <v>8.8235294117647092E-2</v>
      </c>
      <c r="D14" s="38">
        <f t="shared" si="4"/>
        <v>9.3750000000000028E-2</v>
      </c>
      <c r="E14" s="38">
        <f t="shared" si="4"/>
        <v>0.10000000000000003</v>
      </c>
      <c r="G14" s="45" t="str">
        <f t="shared" si="5"/>
        <v>7.50% / 7.50%</v>
      </c>
      <c r="H14" s="45" t="str">
        <f t="shared" si="5"/>
        <v>7.65% / 7.35%</v>
      </c>
      <c r="I14" s="45" t="str">
        <f t="shared" si="5"/>
        <v>7.80% / 7.20%</v>
      </c>
      <c r="J14" s="45" t="str">
        <f t="shared" si="5"/>
        <v>7.95% / 7.05%</v>
      </c>
      <c r="K14" s="45" t="str">
        <f t="shared" si="5"/>
        <v>8.10% / 6.90%</v>
      </c>
      <c r="L14" s="45" t="str">
        <f t="shared" si="5"/>
        <v>8.25% / 6.75%</v>
      </c>
      <c r="M14" s="45" t="str">
        <f t="shared" si="5"/>
        <v>8.40% / 6.60%</v>
      </c>
      <c r="N14" s="45" t="str">
        <f t="shared" si="5"/>
        <v>8.55% / 6.45%</v>
      </c>
      <c r="O14" s="45" t="str">
        <f t="shared" si="5"/>
        <v>8.70% / 6.30%</v>
      </c>
      <c r="P14" s="45" t="str">
        <f t="shared" si="5"/>
        <v>8.85% / 6.15%</v>
      </c>
      <c r="Q14" s="45" t="str">
        <f t="shared" si="5"/>
        <v>9.00% / 6.00%</v>
      </c>
    </row>
    <row r="15" spans="2:17">
      <c r="B15" s="42">
        <f t="shared" si="6"/>
        <v>0.15500000000000005</v>
      </c>
      <c r="C15" s="38">
        <f t="shared" si="4"/>
        <v>9.1176470588235331E-2</v>
      </c>
      <c r="D15" s="38">
        <f t="shared" si="4"/>
        <v>9.6875000000000031E-2</v>
      </c>
      <c r="E15" s="38">
        <f t="shared" si="4"/>
        <v>0.10333333333333337</v>
      </c>
      <c r="G15" s="45" t="str">
        <f t="shared" si="5"/>
        <v>7.75% / 7.75%</v>
      </c>
      <c r="H15" s="45" t="str">
        <f t="shared" si="5"/>
        <v>7.91% / 7.60%</v>
      </c>
      <c r="I15" s="45" t="str">
        <f t="shared" si="5"/>
        <v>8.06% / 7.44%</v>
      </c>
      <c r="J15" s="45" t="str">
        <f t="shared" si="5"/>
        <v>8.22% / 7.29%</v>
      </c>
      <c r="K15" s="45" t="str">
        <f t="shared" si="5"/>
        <v>8.37% / 7.13%</v>
      </c>
      <c r="L15" s="45" t="str">
        <f t="shared" si="5"/>
        <v>8.53% / 6.98%</v>
      </c>
      <c r="M15" s="45" t="str">
        <f t="shared" si="5"/>
        <v>8.68% / 6.82%</v>
      </c>
      <c r="N15" s="45" t="str">
        <f t="shared" si="5"/>
        <v>8.84% / 6.67%</v>
      </c>
      <c r="O15" s="45" t="str">
        <f t="shared" si="5"/>
        <v>8.99% / 6.51%</v>
      </c>
      <c r="P15" s="45" t="str">
        <f t="shared" si="5"/>
        <v>9.15% / 6.36%</v>
      </c>
      <c r="Q15" s="45" t="str">
        <f t="shared" si="5"/>
        <v>9.30% / 6.20%</v>
      </c>
    </row>
    <row r="16" spans="2:17">
      <c r="B16" s="42">
        <f t="shared" si="6"/>
        <v>0.16000000000000006</v>
      </c>
      <c r="C16" s="38">
        <f t="shared" si="4"/>
        <v>9.411764705882357E-2</v>
      </c>
      <c r="D16" s="38">
        <f t="shared" si="4"/>
        <v>0.10000000000000003</v>
      </c>
      <c r="E16" s="38">
        <f t="shared" si="4"/>
        <v>0.1066666666666667</v>
      </c>
      <c r="G16" s="45" t="str">
        <f t="shared" si="5"/>
        <v>8.00% / 8.00%</v>
      </c>
      <c r="H16" s="45" t="str">
        <f t="shared" si="5"/>
        <v>8.16% / 7.84%</v>
      </c>
      <c r="I16" s="45" t="str">
        <f t="shared" si="5"/>
        <v>8.32% / 7.68%</v>
      </c>
      <c r="J16" s="45" t="str">
        <f t="shared" si="5"/>
        <v>8.48% / 7.52%</v>
      </c>
      <c r="K16" s="45" t="str">
        <f t="shared" si="5"/>
        <v>8.64% / 7.36%</v>
      </c>
      <c r="L16" s="45" t="str">
        <f t="shared" si="5"/>
        <v>8.80% / 7.20%</v>
      </c>
      <c r="M16" s="45" t="str">
        <f t="shared" si="5"/>
        <v>8.96% / 7.04%</v>
      </c>
      <c r="N16" s="45" t="str">
        <f t="shared" si="5"/>
        <v>9.12% / 6.88%</v>
      </c>
      <c r="O16" s="45" t="str">
        <f t="shared" si="5"/>
        <v>9.28% / 6.72%</v>
      </c>
      <c r="P16" s="45" t="str">
        <f t="shared" si="5"/>
        <v>9.44% / 6.56%</v>
      </c>
      <c r="Q16" s="45" t="str">
        <f t="shared" si="5"/>
        <v>9.60% / 6.40%</v>
      </c>
    </row>
    <row r="17" spans="2:17">
      <c r="B17" s="42">
        <f t="shared" si="6"/>
        <v>0.16500000000000006</v>
      </c>
      <c r="C17" s="38">
        <f t="shared" si="4"/>
        <v>9.7058823529411808E-2</v>
      </c>
      <c r="D17" s="38">
        <f t="shared" si="4"/>
        <v>0.10312500000000004</v>
      </c>
      <c r="E17" s="38">
        <f t="shared" si="4"/>
        <v>0.11000000000000004</v>
      </c>
      <c r="G17" s="45" t="str">
        <f t="shared" si="5"/>
        <v>8.25% / 8.25%</v>
      </c>
      <c r="H17" s="45" t="str">
        <f t="shared" si="5"/>
        <v>8.42% / 8.09%</v>
      </c>
      <c r="I17" s="45" t="str">
        <f t="shared" si="5"/>
        <v>8.58% / 7.92%</v>
      </c>
      <c r="J17" s="45" t="str">
        <f t="shared" si="5"/>
        <v>8.75% / 7.76%</v>
      </c>
      <c r="K17" s="45" t="str">
        <f t="shared" si="5"/>
        <v>8.91% / 7.59%</v>
      </c>
      <c r="L17" s="45" t="str">
        <f t="shared" si="5"/>
        <v>9.08% / 7.43%</v>
      </c>
      <c r="M17" s="45" t="str">
        <f t="shared" si="5"/>
        <v>9.24% / 7.26%</v>
      </c>
      <c r="N17" s="45" t="str">
        <f t="shared" si="5"/>
        <v>9.41% / 7.10%</v>
      </c>
      <c r="O17" s="45" t="str">
        <f t="shared" si="5"/>
        <v>9.57% / 6.93%</v>
      </c>
      <c r="P17" s="45" t="str">
        <f t="shared" si="5"/>
        <v>9.74% / 6.77%</v>
      </c>
      <c r="Q17" s="45" t="str">
        <f t="shared" si="5"/>
        <v>9.90% / 6.60%</v>
      </c>
    </row>
    <row r="18" spans="2:17">
      <c r="B18" s="42">
        <f t="shared" si="6"/>
        <v>0.17000000000000007</v>
      </c>
      <c r="C18" s="38">
        <f t="shared" si="4"/>
        <v>0.10000000000000005</v>
      </c>
      <c r="D18" s="38">
        <f t="shared" si="4"/>
        <v>0.10625000000000004</v>
      </c>
      <c r="E18" s="38">
        <f t="shared" si="4"/>
        <v>0.11333333333333338</v>
      </c>
      <c r="G18" s="45" t="str">
        <f t="shared" si="5"/>
        <v>8.50% / 8.50%</v>
      </c>
      <c r="H18" s="45" t="str">
        <f t="shared" si="5"/>
        <v>8.67% / 8.33%</v>
      </c>
      <c r="I18" s="45" t="str">
        <f t="shared" si="5"/>
        <v>8.84% / 8.16%</v>
      </c>
      <c r="J18" s="45" t="str">
        <f t="shared" si="5"/>
        <v>9.01% / 7.99%</v>
      </c>
      <c r="K18" s="45" t="str">
        <f t="shared" si="5"/>
        <v>9.18% / 7.82%</v>
      </c>
      <c r="L18" s="45" t="str">
        <f t="shared" si="5"/>
        <v>9.35% / 7.65%</v>
      </c>
      <c r="M18" s="45" t="str">
        <f t="shared" si="5"/>
        <v>9.52% / 7.48%</v>
      </c>
      <c r="N18" s="45" t="str">
        <f t="shared" si="5"/>
        <v>9.69% / 7.31%</v>
      </c>
      <c r="O18" s="45" t="str">
        <f t="shared" si="5"/>
        <v>9.86% / 7.14%</v>
      </c>
      <c r="P18" s="45" t="str">
        <f t="shared" si="5"/>
        <v>10.03% / 6.97%</v>
      </c>
      <c r="Q18" s="45" t="str">
        <f t="shared" si="5"/>
        <v>10.20% / 6.80%</v>
      </c>
    </row>
    <row r="19" spans="2:17">
      <c r="B19" s="42">
        <f t="shared" si="6"/>
        <v>0.17500000000000007</v>
      </c>
      <c r="C19" s="38">
        <f t="shared" si="4"/>
        <v>0.10294117647058829</v>
      </c>
      <c r="D19" s="38">
        <f t="shared" si="4"/>
        <v>0.10937500000000004</v>
      </c>
      <c r="E19" s="38">
        <f t="shared" si="4"/>
        <v>0.11666666666666671</v>
      </c>
      <c r="G19" s="45" t="str">
        <f t="shared" si="5"/>
        <v>8.75% / 8.75%</v>
      </c>
      <c r="H19" s="45" t="str">
        <f t="shared" si="5"/>
        <v>8.93% / 8.58%</v>
      </c>
      <c r="I19" s="45" t="str">
        <f t="shared" si="5"/>
        <v>9.10% / 8.40%</v>
      </c>
      <c r="J19" s="45" t="str">
        <f t="shared" si="5"/>
        <v>9.28% / 8.23%</v>
      </c>
      <c r="K19" s="45" t="str">
        <f t="shared" si="5"/>
        <v>9.45% / 8.05%</v>
      </c>
      <c r="L19" s="45" t="str">
        <f t="shared" si="5"/>
        <v>9.63% / 7.88%</v>
      </c>
      <c r="M19" s="45" t="str">
        <f t="shared" si="5"/>
        <v>9.80% / 7.70%</v>
      </c>
      <c r="N19" s="45" t="str">
        <f t="shared" si="5"/>
        <v>9.98% / 7.53%</v>
      </c>
      <c r="O19" s="45" t="str">
        <f t="shared" si="5"/>
        <v>10.15% / 7.35%</v>
      </c>
      <c r="P19" s="45" t="str">
        <f t="shared" si="5"/>
        <v>10.33% / 7.18%</v>
      </c>
      <c r="Q19" s="45" t="str">
        <f t="shared" si="5"/>
        <v>10.50% / 7.00%</v>
      </c>
    </row>
    <row r="20" spans="2:17">
      <c r="B20" s="42">
        <f t="shared" si="6"/>
        <v>0.18000000000000008</v>
      </c>
      <c r="C20" s="38">
        <f t="shared" si="4"/>
        <v>0.10588235294117652</v>
      </c>
      <c r="D20" s="38">
        <f t="shared" si="4"/>
        <v>0.11250000000000004</v>
      </c>
      <c r="E20" s="38">
        <f t="shared" si="4"/>
        <v>0.12000000000000005</v>
      </c>
      <c r="G20" s="45" t="str">
        <f t="shared" si="5"/>
        <v>9.00% / 9.00%</v>
      </c>
      <c r="H20" s="45" t="str">
        <f t="shared" si="5"/>
        <v>9.18% / 8.82%</v>
      </c>
      <c r="I20" s="45" t="str">
        <f t="shared" si="5"/>
        <v>9.36% / 8.64%</v>
      </c>
      <c r="J20" s="45" t="str">
        <f t="shared" si="5"/>
        <v>9.54% / 8.46%</v>
      </c>
      <c r="K20" s="45" t="str">
        <f t="shared" si="5"/>
        <v>9.72% / 8.28%</v>
      </c>
      <c r="L20" s="45" t="str">
        <f t="shared" si="5"/>
        <v>9.90% / 8.10%</v>
      </c>
      <c r="M20" s="45" t="str">
        <f t="shared" si="5"/>
        <v>10.08% / 7.92%</v>
      </c>
      <c r="N20" s="45" t="str">
        <f t="shared" si="5"/>
        <v>10.26% / 7.74%</v>
      </c>
      <c r="O20" s="45" t="str">
        <f t="shared" si="5"/>
        <v>10.44% / 7.56%</v>
      </c>
      <c r="P20" s="45" t="str">
        <f t="shared" si="5"/>
        <v>10.62% / 7.38%</v>
      </c>
      <c r="Q20" s="45" t="str">
        <f t="shared" si="5"/>
        <v>10.80% / 7.20%</v>
      </c>
    </row>
    <row r="21" spans="2:17">
      <c r="B21" s="42">
        <f t="shared" si="6"/>
        <v>0.18500000000000008</v>
      </c>
      <c r="C21" s="38">
        <f t="shared" si="4"/>
        <v>0.10882352941176475</v>
      </c>
      <c r="D21" s="38">
        <f t="shared" si="4"/>
        <v>0.11562500000000005</v>
      </c>
      <c r="E21" s="38">
        <f t="shared" si="4"/>
        <v>0.12333333333333339</v>
      </c>
      <c r="G21" s="45" t="str">
        <f t="shared" si="5"/>
        <v>9.25% / 9.25%</v>
      </c>
      <c r="H21" s="45" t="str">
        <f t="shared" si="5"/>
        <v>9.44% / 9.07%</v>
      </c>
      <c r="I21" s="45" t="str">
        <f t="shared" si="5"/>
        <v>9.62% / 8.88%</v>
      </c>
      <c r="J21" s="45" t="str">
        <f t="shared" si="5"/>
        <v>9.81% / 8.70%</v>
      </c>
      <c r="K21" s="45" t="str">
        <f t="shared" si="5"/>
        <v>9.99% / 8.51%</v>
      </c>
      <c r="L21" s="45" t="str">
        <f t="shared" si="5"/>
        <v>10.18% / 8.33%</v>
      </c>
      <c r="M21" s="45" t="str">
        <f t="shared" si="5"/>
        <v>10.36% / 8.14%</v>
      </c>
      <c r="N21" s="45" t="str">
        <f t="shared" si="5"/>
        <v>10.55% / 7.96%</v>
      </c>
      <c r="O21" s="45" t="str">
        <f t="shared" si="5"/>
        <v>10.73% / 7.77%</v>
      </c>
      <c r="P21" s="45" t="str">
        <f t="shared" si="5"/>
        <v>10.92% / 7.59%</v>
      </c>
      <c r="Q21" s="45" t="str">
        <f t="shared" si="5"/>
        <v>11.10% / 7.40%</v>
      </c>
    </row>
    <row r="22" spans="2:17">
      <c r="B22" s="42">
        <f t="shared" si="6"/>
        <v>0.19000000000000009</v>
      </c>
      <c r="C22" s="38">
        <f t="shared" si="4"/>
        <v>0.11176470588235299</v>
      </c>
      <c r="D22" s="38">
        <f t="shared" si="4"/>
        <v>0.11875000000000005</v>
      </c>
      <c r="E22" s="38">
        <f t="shared" si="4"/>
        <v>0.12666666666666673</v>
      </c>
      <c r="G22" s="45" t="str">
        <f t="shared" si="5"/>
        <v>9.50% / 9.50%</v>
      </c>
      <c r="H22" s="45" t="str">
        <f t="shared" si="5"/>
        <v>9.69% / 9.31%</v>
      </c>
      <c r="I22" s="45" t="str">
        <f t="shared" si="5"/>
        <v>9.88% / 9.12%</v>
      </c>
      <c r="J22" s="45" t="str">
        <f t="shared" si="5"/>
        <v>10.07% / 8.93%</v>
      </c>
      <c r="K22" s="45" t="str">
        <f t="shared" si="5"/>
        <v>10.26% / 8.74%</v>
      </c>
      <c r="L22" s="45" t="str">
        <f t="shared" si="5"/>
        <v>10.45% / 8.55%</v>
      </c>
      <c r="M22" s="45" t="str">
        <f t="shared" si="5"/>
        <v>10.64% / 8.36%</v>
      </c>
      <c r="N22" s="45" t="str">
        <f t="shared" si="5"/>
        <v>10.83% / 8.17%</v>
      </c>
      <c r="O22" s="45" t="str">
        <f t="shared" si="5"/>
        <v>11.02% / 7.98%</v>
      </c>
      <c r="P22" s="45" t="str">
        <f t="shared" si="5"/>
        <v>11.21% / 7.79%</v>
      </c>
      <c r="Q22" s="45" t="str">
        <f t="shared" si="5"/>
        <v>11.40% / 7.60%</v>
      </c>
    </row>
    <row r="23" spans="2:17">
      <c r="B23" s="42">
        <f t="shared" si="6"/>
        <v>0.19500000000000009</v>
      </c>
      <c r="C23" s="38">
        <f t="shared" si="4"/>
        <v>0.11470588235294123</v>
      </c>
      <c r="D23" s="38">
        <f t="shared" si="4"/>
        <v>0.12187500000000005</v>
      </c>
      <c r="E23" s="38">
        <f t="shared" si="4"/>
        <v>0.13000000000000006</v>
      </c>
      <c r="G23" s="45" t="str">
        <f t="shared" si="5"/>
        <v>9.75% / 9.75%</v>
      </c>
      <c r="H23" s="45" t="str">
        <f t="shared" si="5"/>
        <v>9.95% / 9.56%</v>
      </c>
      <c r="I23" s="45" t="str">
        <f t="shared" si="5"/>
        <v>10.14% / 9.36%</v>
      </c>
      <c r="J23" s="45" t="str">
        <f t="shared" si="5"/>
        <v>10.34% / 9.17%</v>
      </c>
      <c r="K23" s="45" t="str">
        <f t="shared" si="5"/>
        <v>10.53% / 8.97%</v>
      </c>
      <c r="L23" s="45" t="str">
        <f t="shared" si="5"/>
        <v>10.73% / 8.78%</v>
      </c>
      <c r="M23" s="45" t="str">
        <f t="shared" si="5"/>
        <v>10.92% / 8.58%</v>
      </c>
      <c r="N23" s="45" t="str">
        <f t="shared" si="5"/>
        <v>11.12% / 8.39%</v>
      </c>
      <c r="O23" s="45" t="str">
        <f t="shared" si="5"/>
        <v>11.31% / 8.19%</v>
      </c>
      <c r="P23" s="45" t="str">
        <f t="shared" si="5"/>
        <v>11.51% / 8.00%</v>
      </c>
      <c r="Q23" s="45" t="str">
        <f t="shared" si="5"/>
        <v>11.70% / 7.80%</v>
      </c>
    </row>
    <row r="24" spans="2:17">
      <c r="B24" s="43">
        <f t="shared" si="6"/>
        <v>0.20000000000000009</v>
      </c>
      <c r="C24" s="39">
        <f t="shared" si="4"/>
        <v>0.11764705882352947</v>
      </c>
      <c r="D24" s="39">
        <f t="shared" si="4"/>
        <v>0.12500000000000006</v>
      </c>
      <c r="E24" s="39">
        <f t="shared" si="4"/>
        <v>0.13333333333333339</v>
      </c>
      <c r="G24" s="45" t="str">
        <f t="shared" si="5"/>
        <v>10.00% / 10.00%</v>
      </c>
      <c r="H24" s="45" t="str">
        <f t="shared" si="5"/>
        <v>10.20% / 9.80%</v>
      </c>
      <c r="I24" s="45" t="str">
        <f t="shared" si="5"/>
        <v>10.40% / 9.60%</v>
      </c>
      <c r="J24" s="45" t="str">
        <f t="shared" si="5"/>
        <v>10.60% / 9.40%</v>
      </c>
      <c r="K24" s="45" t="str">
        <f t="shared" si="5"/>
        <v>10.80% / 9.20%</v>
      </c>
      <c r="L24" s="45" t="str">
        <f t="shared" si="5"/>
        <v>11.00% / 9.00%</v>
      </c>
      <c r="M24" s="45" t="str">
        <f t="shared" si="5"/>
        <v>11.20% / 8.80%</v>
      </c>
      <c r="N24" s="45" t="str">
        <f t="shared" si="5"/>
        <v>11.40% / 8.60%</v>
      </c>
      <c r="O24" s="45" t="str">
        <f t="shared" si="5"/>
        <v>11.60% / 8.40%</v>
      </c>
      <c r="P24" s="45" t="str">
        <f t="shared" si="5"/>
        <v>11.80% / 8.20%</v>
      </c>
      <c r="Q24" s="45" t="str">
        <f t="shared" si="5"/>
        <v>12.00% / 8.00%</v>
      </c>
    </row>
    <row r="25" spans="2:17">
      <c r="H25" s="36"/>
    </row>
    <row r="26" spans="2:17" ht="25.5">
      <c r="B26" s="31" t="s">
        <v>161</v>
      </c>
      <c r="J26" s="32" t="s">
        <v>160</v>
      </c>
      <c r="K26" s="32" t="s">
        <v>165</v>
      </c>
    </row>
    <row r="27" spans="2:17">
      <c r="B27" s="128" t="s">
        <v>167</v>
      </c>
      <c r="J27" s="31" t="s">
        <v>47</v>
      </c>
      <c r="K27" s="31" t="s">
        <v>53</v>
      </c>
    </row>
    <row r="28" spans="2:17">
      <c r="B28" s="128" t="s">
        <v>168</v>
      </c>
      <c r="J28" s="31" t="s">
        <v>54</v>
      </c>
      <c r="K28" s="31" t="s">
        <v>55</v>
      </c>
    </row>
    <row r="29" spans="2:17">
      <c r="B29" s="128" t="s">
        <v>163</v>
      </c>
      <c r="J29" s="31" t="s">
        <v>56</v>
      </c>
      <c r="K29" s="31" t="s">
        <v>57</v>
      </c>
    </row>
    <row r="30" spans="2:17">
      <c r="B30" s="128" t="s">
        <v>164</v>
      </c>
    </row>
  </sheetData>
  <printOptions horizontalCentered="1"/>
  <pageMargins left="0" right="0" top="1" bottom="1" header="0.5" footer="0.5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5"/>
  <sheetViews>
    <sheetView showGridLines="0" workbookViewId="0">
      <selection activeCell="B17" sqref="B17"/>
    </sheetView>
  </sheetViews>
  <sheetFormatPr defaultRowHeight="12.75"/>
  <cols>
    <col min="2" max="2" width="20.42578125" customWidth="1"/>
    <col min="4" max="4" width="23.28515625" bestFit="1" customWidth="1"/>
  </cols>
  <sheetData>
    <row r="4" spans="2:4" ht="15.75">
      <c r="B4" s="7" t="s">
        <v>5</v>
      </c>
      <c r="C4" s="6"/>
      <c r="D4" s="6"/>
    </row>
    <row r="5" spans="2:4" ht="15.75">
      <c r="B5" s="8" t="s">
        <v>38</v>
      </c>
      <c r="C5" s="8" t="s">
        <v>6</v>
      </c>
      <c r="D5" s="8" t="s">
        <v>7</v>
      </c>
    </row>
    <row r="6" spans="2:4" ht="15">
      <c r="B6" s="5" t="s">
        <v>8</v>
      </c>
      <c r="C6" s="5" t="s">
        <v>9</v>
      </c>
      <c r="D6" s="5" t="s">
        <v>10</v>
      </c>
    </row>
    <row r="7" spans="2:4" ht="15">
      <c r="B7" s="5" t="s">
        <v>11</v>
      </c>
      <c r="C7" s="5" t="s">
        <v>12</v>
      </c>
      <c r="D7" s="5" t="s">
        <v>13</v>
      </c>
    </row>
    <row r="8" spans="2:4" ht="15">
      <c r="B8" s="5" t="s">
        <v>14</v>
      </c>
      <c r="C8" s="5" t="s">
        <v>15</v>
      </c>
      <c r="D8" s="5" t="s">
        <v>16</v>
      </c>
    </row>
    <row r="9" spans="2:4" ht="15">
      <c r="B9" s="5" t="s">
        <v>17</v>
      </c>
      <c r="C9" s="5" t="s">
        <v>18</v>
      </c>
      <c r="D9" s="5" t="s">
        <v>19</v>
      </c>
    </row>
    <row r="10" spans="2:4" ht="15">
      <c r="B10" s="5" t="s">
        <v>20</v>
      </c>
      <c r="C10" s="5" t="s">
        <v>21</v>
      </c>
      <c r="D10" s="5" t="s">
        <v>22</v>
      </c>
    </row>
    <row r="11" spans="2:4" ht="15">
      <c r="B11" s="5" t="s">
        <v>23</v>
      </c>
      <c r="C11" s="5" t="s">
        <v>24</v>
      </c>
      <c r="D11" s="5" t="s">
        <v>25</v>
      </c>
    </row>
    <row r="12" spans="2:4" ht="15">
      <c r="B12" s="5" t="s">
        <v>26</v>
      </c>
      <c r="C12" s="5" t="s">
        <v>27</v>
      </c>
      <c r="D12" s="5" t="s">
        <v>28</v>
      </c>
    </row>
    <row r="13" spans="2:4" ht="15">
      <c r="B13" s="5" t="s">
        <v>29</v>
      </c>
      <c r="C13" s="5" t="s">
        <v>30</v>
      </c>
      <c r="D13" s="5" t="s">
        <v>31</v>
      </c>
    </row>
    <row r="14" spans="2:4" ht="15">
      <c r="B14" s="5" t="s">
        <v>32</v>
      </c>
      <c r="C14" s="5" t="s">
        <v>33</v>
      </c>
      <c r="D14" s="5" t="s">
        <v>34</v>
      </c>
    </row>
    <row r="15" spans="2:4" ht="15">
      <c r="B15" s="5" t="s">
        <v>35</v>
      </c>
      <c r="C15" s="5" t="s">
        <v>36</v>
      </c>
      <c r="D15" s="5" t="s">
        <v>37</v>
      </c>
    </row>
  </sheetData>
  <phoneticPr fontId="4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4"/>
  <sheetViews>
    <sheetView showGridLines="0" workbookViewId="0">
      <selection activeCell="J15" sqref="J15"/>
    </sheetView>
  </sheetViews>
  <sheetFormatPr defaultColWidth="8.85546875" defaultRowHeight="12.75"/>
  <cols>
    <col min="1" max="1" width="1.7109375" style="47" customWidth="1"/>
    <col min="2" max="2" width="29.42578125" style="47" bestFit="1" customWidth="1"/>
    <col min="3" max="4" width="8.85546875" style="47"/>
    <col min="5" max="5" width="1.7109375" style="47" customWidth="1"/>
    <col min="6" max="6" width="26.5703125" style="47" bestFit="1" customWidth="1"/>
    <col min="7" max="7" width="11.140625" style="47" bestFit="1" customWidth="1"/>
    <col min="8" max="8" width="10.140625" style="47" bestFit="1" customWidth="1"/>
    <col min="9" max="16384" width="8.85546875" style="47"/>
  </cols>
  <sheetData>
    <row r="2" spans="2:8">
      <c r="B2" s="46" t="s">
        <v>129</v>
      </c>
      <c r="G2" s="75" t="s">
        <v>128</v>
      </c>
      <c r="H2" s="77">
        <v>40454</v>
      </c>
    </row>
    <row r="3" spans="2:8">
      <c r="B3" s="76"/>
      <c r="C3" s="76"/>
      <c r="D3" s="76"/>
      <c r="E3" s="76"/>
      <c r="F3" s="76"/>
      <c r="G3" s="76"/>
      <c r="H3" s="76"/>
    </row>
    <row r="5" spans="2:8">
      <c r="B5" s="57" t="s">
        <v>127</v>
      </c>
      <c r="C5" s="57"/>
      <c r="D5" s="57"/>
    </row>
    <row r="6" spans="2:8">
      <c r="B6" s="57" t="s">
        <v>126</v>
      </c>
      <c r="C6" s="57"/>
      <c r="D6" s="57"/>
    </row>
    <row r="7" spans="2:8">
      <c r="B7" s="57" t="s">
        <v>125</v>
      </c>
      <c r="C7" s="57"/>
      <c r="D7" s="57"/>
      <c r="F7" s="75" t="s">
        <v>124</v>
      </c>
    </row>
    <row r="9" spans="2:8">
      <c r="B9" s="72" t="s">
        <v>123</v>
      </c>
      <c r="D9" s="66">
        <v>2640</v>
      </c>
    </row>
    <row r="10" spans="2:8">
      <c r="B10" s="72" t="s">
        <v>122</v>
      </c>
      <c r="D10" s="66">
        <v>183000</v>
      </c>
    </row>
    <row r="11" spans="2:8">
      <c r="B11" s="72" t="s">
        <v>121</v>
      </c>
      <c r="D11" s="67">
        <f>D10</f>
        <v>183000</v>
      </c>
    </row>
    <row r="12" spans="2:8">
      <c r="B12" s="72" t="s">
        <v>120</v>
      </c>
      <c r="D12" s="67">
        <f>(1-G17)*D10</f>
        <v>9150.0000000000073</v>
      </c>
    </row>
    <row r="13" spans="2:8">
      <c r="B13" s="72" t="s">
        <v>119</v>
      </c>
      <c r="D13" s="66">
        <v>5215</v>
      </c>
    </row>
    <row r="14" spans="2:8">
      <c r="B14" s="72" t="s">
        <v>118</v>
      </c>
      <c r="D14" s="66">
        <v>915</v>
      </c>
    </row>
    <row r="15" spans="2:8">
      <c r="B15" s="72" t="s">
        <v>117</v>
      </c>
      <c r="D15" s="66">
        <v>0</v>
      </c>
    </row>
    <row r="16" spans="2:8">
      <c r="B16" s="71" t="s">
        <v>116</v>
      </c>
      <c r="C16" s="46"/>
      <c r="D16" s="65">
        <f>SUM(D12:D15)</f>
        <v>15280.000000000007</v>
      </c>
      <c r="F16" s="60" t="s">
        <v>115</v>
      </c>
      <c r="G16" s="60" t="s">
        <v>114</v>
      </c>
      <c r="H16" s="60" t="s">
        <v>113</v>
      </c>
    </row>
    <row r="17" spans="2:8">
      <c r="B17" s="72" t="s">
        <v>112</v>
      </c>
      <c r="D17" s="67">
        <f>D11/D9</f>
        <v>69.318181818181813</v>
      </c>
      <c r="F17" s="47" t="s">
        <v>111</v>
      </c>
      <c r="G17" s="61">
        <v>0.95</v>
      </c>
      <c r="H17" s="61">
        <v>0</v>
      </c>
    </row>
    <row r="18" spans="2:8">
      <c r="B18" s="72" t="s">
        <v>110</v>
      </c>
      <c r="D18" s="74">
        <f>C20/D9</f>
        <v>0.7007575757575758</v>
      </c>
      <c r="F18" s="47" t="s">
        <v>46</v>
      </c>
      <c r="G18" s="67">
        <f>G17*D10</f>
        <v>173850</v>
      </c>
      <c r="H18" s="67">
        <f>H17*E10</f>
        <v>0</v>
      </c>
    </row>
    <row r="19" spans="2:8">
      <c r="B19" s="60" t="s">
        <v>0</v>
      </c>
      <c r="C19" s="60" t="s">
        <v>65</v>
      </c>
      <c r="D19" s="60" t="s">
        <v>68</v>
      </c>
      <c r="F19" s="47" t="s">
        <v>109</v>
      </c>
      <c r="G19" s="62">
        <f>-PMT(G22/12,G21,G18,0,0)</f>
        <v>1042.3185879780599</v>
      </c>
      <c r="H19" s="73">
        <f>IF(H18=0,0,-PMT(H22/12,H21,H18,0,0))</f>
        <v>0</v>
      </c>
    </row>
    <row r="20" spans="2:8">
      <c r="B20" s="72" t="s">
        <v>108</v>
      </c>
      <c r="C20" s="66">
        <v>1850</v>
      </c>
      <c r="D20" s="67">
        <f>C20*12</f>
        <v>22200</v>
      </c>
      <c r="F20" s="47" t="s">
        <v>107</v>
      </c>
      <c r="G20" s="57" t="s">
        <v>106</v>
      </c>
      <c r="H20" s="57"/>
    </row>
    <row r="21" spans="2:8">
      <c r="B21" s="72" t="s">
        <v>105</v>
      </c>
      <c r="C21" s="67">
        <f>$H34*C20*-1</f>
        <v>-148</v>
      </c>
      <c r="D21" s="67">
        <f>C21*12</f>
        <v>-1776</v>
      </c>
      <c r="F21" s="47" t="s">
        <v>104</v>
      </c>
      <c r="G21" s="57">
        <v>360</v>
      </c>
      <c r="H21" s="57">
        <v>0</v>
      </c>
    </row>
    <row r="22" spans="2:8">
      <c r="B22" s="71" t="s">
        <v>103</v>
      </c>
      <c r="C22" s="55">
        <f>SUM(C20:C21)</f>
        <v>1702</v>
      </c>
      <c r="D22" s="65">
        <f>C22*12</f>
        <v>20424</v>
      </c>
      <c r="F22" s="47" t="s">
        <v>47</v>
      </c>
      <c r="G22" s="61">
        <v>0.06</v>
      </c>
      <c r="H22" s="61">
        <v>0</v>
      </c>
    </row>
    <row r="23" spans="2:8">
      <c r="B23" s="60" t="s">
        <v>102</v>
      </c>
      <c r="C23" s="60" t="s">
        <v>65</v>
      </c>
      <c r="D23" s="60" t="s">
        <v>68</v>
      </c>
      <c r="F23" s="47" t="s">
        <v>101</v>
      </c>
      <c r="G23" s="57">
        <v>0</v>
      </c>
      <c r="H23" s="57">
        <v>0</v>
      </c>
    </row>
    <row r="24" spans="2:8">
      <c r="B24" s="47" t="s">
        <v>100</v>
      </c>
      <c r="C24" s="58">
        <f t="shared" ref="C24:C30" si="0">D24/12</f>
        <v>-125</v>
      </c>
      <c r="D24" s="66">
        <v>-1500</v>
      </c>
      <c r="F24" s="60" t="s">
        <v>99</v>
      </c>
      <c r="G24" s="60"/>
      <c r="H24" s="60"/>
    </row>
    <row r="25" spans="2:8">
      <c r="B25" s="47" t="s">
        <v>98</v>
      </c>
      <c r="C25" s="58">
        <f t="shared" si="0"/>
        <v>-68.583333333333329</v>
      </c>
      <c r="D25" s="66">
        <v>-823</v>
      </c>
      <c r="F25" s="47" t="s">
        <v>97</v>
      </c>
      <c r="H25" s="70">
        <f>D33/D34</f>
        <v>-1.2426686826906428</v>
      </c>
    </row>
    <row r="26" spans="2:8">
      <c r="B26" s="47" t="s">
        <v>96</v>
      </c>
      <c r="C26" s="58">
        <f t="shared" si="0"/>
        <v>-136.16</v>
      </c>
      <c r="D26" s="67">
        <f>H35*D22*-1</f>
        <v>-1633.92</v>
      </c>
      <c r="F26" s="47" t="s">
        <v>95</v>
      </c>
      <c r="H26" s="69">
        <f>D10/D20</f>
        <v>8.2432432432432439</v>
      </c>
    </row>
    <row r="27" spans="2:8">
      <c r="B27" s="47" t="s">
        <v>94</v>
      </c>
      <c r="C27" s="58">
        <f t="shared" si="0"/>
        <v>0</v>
      </c>
      <c r="D27" s="66">
        <v>0</v>
      </c>
      <c r="F27" s="47" t="s">
        <v>93</v>
      </c>
      <c r="H27" s="69">
        <f>D10/C20</f>
        <v>98.918918918918919</v>
      </c>
    </row>
    <row r="28" spans="2:8">
      <c r="B28" s="47" t="s">
        <v>92</v>
      </c>
      <c r="C28" s="58">
        <f t="shared" si="0"/>
        <v>-20</v>
      </c>
      <c r="D28" s="66">
        <v>-240</v>
      </c>
      <c r="F28" s="47" t="s">
        <v>91</v>
      </c>
      <c r="H28" s="68">
        <f>D33/D10</f>
        <v>8.4934863387978135E-2</v>
      </c>
    </row>
    <row r="29" spans="2:8">
      <c r="B29" s="47" t="s">
        <v>90</v>
      </c>
      <c r="C29" s="58">
        <f t="shared" si="0"/>
        <v>-37</v>
      </c>
      <c r="D29" s="67">
        <f>H36*D20*-1</f>
        <v>-444</v>
      </c>
      <c r="F29" s="46" t="s">
        <v>89</v>
      </c>
      <c r="G29" s="46"/>
      <c r="H29" s="64">
        <f>D35/D16</f>
        <v>0.19864247017429842</v>
      </c>
    </row>
    <row r="30" spans="2:8">
      <c r="B30" s="47" t="s">
        <v>88</v>
      </c>
      <c r="C30" s="58">
        <f t="shared" si="0"/>
        <v>-20</v>
      </c>
      <c r="D30" s="66">
        <v>-240</v>
      </c>
      <c r="F30" s="46" t="s">
        <v>87</v>
      </c>
      <c r="G30" s="46"/>
      <c r="H30" s="64">
        <f>D38/D16</f>
        <v>0.57788974516075609</v>
      </c>
    </row>
    <row r="31" spans="2:8">
      <c r="B31" s="46" t="s">
        <v>86</v>
      </c>
      <c r="C31" s="55">
        <f>SUM(C24:C30)</f>
        <v>-406.74333333333334</v>
      </c>
      <c r="D31" s="65">
        <f>SUM(D24:D30)</f>
        <v>-4880.92</v>
      </c>
      <c r="F31" s="46" t="s">
        <v>85</v>
      </c>
      <c r="G31" s="46"/>
      <c r="H31" s="64">
        <f>D40/D16</f>
        <v>0.58207822683614874</v>
      </c>
    </row>
    <row r="32" spans="2:8">
      <c r="B32" s="60" t="s">
        <v>84</v>
      </c>
      <c r="C32" s="60" t="s">
        <v>65</v>
      </c>
      <c r="D32" s="60" t="s">
        <v>68</v>
      </c>
      <c r="F32" s="60" t="s">
        <v>83</v>
      </c>
      <c r="G32" s="60"/>
      <c r="H32" s="60"/>
    </row>
    <row r="33" spans="2:8">
      <c r="B33" s="46" t="s">
        <v>82</v>
      </c>
      <c r="C33" s="55">
        <f>C22+C31</f>
        <v>1295.2566666666667</v>
      </c>
      <c r="D33" s="55">
        <f>D22+D31</f>
        <v>15543.08</v>
      </c>
      <c r="F33" s="47" t="s">
        <v>81</v>
      </c>
      <c r="H33" s="61">
        <v>0.02</v>
      </c>
    </row>
    <row r="34" spans="2:8">
      <c r="B34" s="59" t="s">
        <v>80</v>
      </c>
      <c r="C34" s="50">
        <f>SUM(G19:H19)*-1</f>
        <v>-1042.3185879780599</v>
      </c>
      <c r="D34" s="50">
        <f>C34*12</f>
        <v>-12507.823055736719</v>
      </c>
      <c r="F34" s="47" t="s">
        <v>79</v>
      </c>
      <c r="H34" s="61">
        <v>0.08</v>
      </c>
    </row>
    <row r="35" spans="2:8">
      <c r="B35" s="56" t="s">
        <v>78</v>
      </c>
      <c r="C35" s="55">
        <f>SUM(C33:C34)</f>
        <v>252.93807868860677</v>
      </c>
      <c r="D35" s="55">
        <f>SUM(D33:D34)</f>
        <v>3035.2569442632812</v>
      </c>
      <c r="F35" s="47" t="s">
        <v>77</v>
      </c>
      <c r="H35" s="61">
        <v>0.08</v>
      </c>
    </row>
    <row r="36" spans="2:8">
      <c r="B36" s="59" t="s">
        <v>76</v>
      </c>
      <c r="C36" s="63">
        <f>D36/12</f>
        <v>177.9081968160896</v>
      </c>
      <c r="D36" s="62">
        <f>-CUMPRINC($G22/12,$G21,G18,1,12,0)</f>
        <v>2134.8983617930753</v>
      </c>
      <c r="F36" s="47" t="s">
        <v>75</v>
      </c>
      <c r="H36" s="61">
        <v>0.02</v>
      </c>
    </row>
    <row r="37" spans="2:8">
      <c r="B37" s="59" t="s">
        <v>74</v>
      </c>
      <c r="C37" s="58">
        <f>H33*D11/12</f>
        <v>305</v>
      </c>
      <c r="D37" s="50">
        <f>C37*12</f>
        <v>3660</v>
      </c>
      <c r="F37" s="60" t="s">
        <v>73</v>
      </c>
      <c r="G37" s="60"/>
      <c r="H37" s="60"/>
    </row>
    <row r="38" spans="2:8" ht="12.75" customHeight="1">
      <c r="B38" s="56" t="s">
        <v>72</v>
      </c>
      <c r="C38" s="55">
        <f>SUM(C35:C37)</f>
        <v>735.84627550469634</v>
      </c>
      <c r="D38" s="55">
        <f>SUM(D35:D37)</f>
        <v>8830.1553060563565</v>
      </c>
      <c r="F38" s="93" t="s">
        <v>71</v>
      </c>
      <c r="G38" s="93"/>
      <c r="H38" s="93"/>
    </row>
    <row r="39" spans="2:8">
      <c r="B39" s="59" t="s">
        <v>70</v>
      </c>
      <c r="C39" s="58">
        <f>D39/12</f>
        <v>5.333333333333333</v>
      </c>
      <c r="D39" s="57">
        <v>64</v>
      </c>
      <c r="F39" s="93"/>
      <c r="G39" s="93"/>
      <c r="H39" s="93"/>
    </row>
    <row r="40" spans="2:8">
      <c r="B40" s="56" t="s">
        <v>69</v>
      </c>
      <c r="C40" s="55">
        <f>SUM(C38:C39)</f>
        <v>741.17960883802971</v>
      </c>
      <c r="D40" s="55">
        <f>SUM(D38:D39)</f>
        <v>8894.1553060563565</v>
      </c>
      <c r="F40" s="93"/>
      <c r="G40" s="93"/>
      <c r="H40" s="93"/>
    </row>
    <row r="41" spans="2:8">
      <c r="F41" s="93"/>
      <c r="G41" s="93"/>
      <c r="H41" s="93"/>
    </row>
    <row r="42" spans="2:8">
      <c r="F42" s="93"/>
      <c r="G42" s="93"/>
      <c r="H42" s="93"/>
    </row>
    <row r="43" spans="2:8">
      <c r="F43" s="93"/>
      <c r="G43" s="93"/>
      <c r="H43" s="93"/>
    </row>
    <row r="44" spans="2:8">
      <c r="F44" s="93"/>
      <c r="G44" s="93"/>
      <c r="H44" s="93"/>
    </row>
  </sheetData>
  <mergeCells count="1">
    <mergeCell ref="F38:H44"/>
  </mergeCells>
  <printOptions horizontalCentered="1"/>
  <pageMargins left="0.25" right="0.25" top="1" bottom="1" header="0.5" footer="0.5"/>
  <pageSetup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3"/>
  <sheetViews>
    <sheetView workbookViewId="0">
      <selection activeCell="I14" sqref="I14"/>
    </sheetView>
  </sheetViews>
  <sheetFormatPr defaultColWidth="8.85546875" defaultRowHeight="12.75"/>
  <cols>
    <col min="1" max="1" width="8.85546875" style="47"/>
    <col min="2" max="2" width="11" style="47" customWidth="1"/>
    <col min="3" max="16384" width="8.85546875" style="47"/>
  </cols>
  <sheetData>
    <row r="4" spans="2:3">
      <c r="B4" s="51" t="s">
        <v>61</v>
      </c>
      <c r="C4" s="52"/>
    </row>
    <row r="5" spans="2:3">
      <c r="B5" s="53" t="s">
        <v>135</v>
      </c>
      <c r="C5" s="54"/>
    </row>
    <row r="7" spans="2:3">
      <c r="B7" s="48" t="s">
        <v>135</v>
      </c>
      <c r="C7" s="48" t="s">
        <v>62</v>
      </c>
    </row>
    <row r="8" spans="2:3">
      <c r="B8" s="47" t="s">
        <v>63</v>
      </c>
      <c r="C8" s="47">
        <v>365</v>
      </c>
    </row>
    <row r="9" spans="2:3">
      <c r="B9" s="47" t="s">
        <v>64</v>
      </c>
      <c r="C9" s="47">
        <v>52</v>
      </c>
    </row>
    <row r="10" spans="2:3">
      <c r="B10" s="47" t="s">
        <v>65</v>
      </c>
      <c r="C10" s="47">
        <v>12</v>
      </c>
    </row>
    <row r="11" spans="2:3">
      <c r="B11" s="47" t="s">
        <v>66</v>
      </c>
      <c r="C11" s="47">
        <v>4</v>
      </c>
    </row>
    <row r="12" spans="2:3">
      <c r="B12" s="47" t="s">
        <v>67</v>
      </c>
      <c r="C12" s="47">
        <v>2</v>
      </c>
    </row>
    <row r="13" spans="2:3">
      <c r="B13" s="47" t="s">
        <v>68</v>
      </c>
      <c r="C13" s="47">
        <v>1</v>
      </c>
    </row>
  </sheetData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10bii</vt:lpstr>
      <vt:lpstr>Per1K</vt:lpstr>
      <vt:lpstr>30YrAmort</vt:lpstr>
      <vt:lpstr>AmortTbl</vt:lpstr>
      <vt:lpstr>CanUAfford</vt:lpstr>
      <vt:lpstr>Lending_DCR</vt:lpstr>
      <vt:lpstr>FICO</vt:lpstr>
      <vt:lpstr>Rpt2</vt:lpstr>
      <vt:lpstr>Ignore</vt:lpstr>
      <vt:lpstr>FV</vt:lpstr>
      <vt:lpstr>Loan</vt:lpstr>
      <vt:lpstr>PdDescr</vt:lpstr>
      <vt:lpstr>Period</vt:lpstr>
      <vt:lpstr>PMT</vt:lpstr>
      <vt:lpstr>'30YrAmort'!Print_Area</vt:lpstr>
      <vt:lpstr>AmortTbl!Print_Area</vt:lpstr>
      <vt:lpstr>CanUAfford!Print_Area</vt:lpstr>
      <vt:lpstr>Lending_DCR!Print_Area</vt:lpstr>
      <vt:lpstr>Per1K!Print_Area</vt:lpstr>
      <vt:lpstr>'Rpt2'!Print_Area</vt:lpstr>
      <vt:lpstr>AmortTbl!Print_Titles</vt:lpstr>
      <vt:lpstr>PYR</vt:lpstr>
      <vt:lpstr>Rate</vt:lpstr>
      <vt:lpstr>Term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2014-09-21T02:54:20Z</cp:lastPrinted>
  <dcterms:created xsi:type="dcterms:W3CDTF">2006-06-26T00:40:27Z</dcterms:created>
  <dcterms:modified xsi:type="dcterms:W3CDTF">2014-09-21T03:36:51Z</dcterms:modified>
</cp:coreProperties>
</file>